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2" activeTab="14"/>
  </bookViews>
  <sheets>
    <sheet name="Fund Requirement " sheetId="1" r:id="rId1"/>
    <sheet name="Financial Eval No Tariff Inc." sheetId="2" r:id="rId2"/>
    <sheet name="Financial Eval 10% Annual  Inc." sheetId="3" r:id="rId3"/>
    <sheet name="Financial Eval 20% Annual Inc " sheetId="4" r:id="rId4"/>
    <sheet name="Financial Eval 22% Annual Inc" sheetId="5" r:id="rId5"/>
    <sheet name="Financial Eval 25% Annual I)" sheetId="6" r:id="rId6"/>
    <sheet name="Financial Eval 50% -5years" sheetId="7" r:id="rId7"/>
    <sheet name="Financial Eval 60%-5 years " sheetId="8" r:id="rId8"/>
    <sheet name="Financial Eval 70%-5 years" sheetId="9" r:id="rId9"/>
    <sheet name="Financial Eval 75%-5 years" sheetId="10" r:id="rId10"/>
    <sheet name="Financial Eval 78%-5 years (2)" sheetId="11" r:id="rId11"/>
    <sheet name="Financial Eval 80%-5 years" sheetId="12" r:id="rId12"/>
    <sheet name="Financial Eval 600% Inc" sheetId="13" r:id="rId13"/>
    <sheet name="Financial Eval 700% Inc " sheetId="14" r:id="rId14"/>
    <sheet name="Financial Eval 800% Inc" sheetId="15" r:id="rId15"/>
    <sheet name="Discard1" sheetId="16" r:id="rId16"/>
    <sheet name="Discard2" sheetId="17" r:id="rId17"/>
    <sheet name="Discard3" sheetId="18" r:id="rId18"/>
  </sheets>
  <definedNames>
    <definedName name="_xlnm.Print_Area" localSheetId="1">'Financial Eval No Tariff Inc.'!$A$1:$P$32</definedName>
  </definedNames>
  <calcPr fullCalcOnLoad="1"/>
</workbook>
</file>

<file path=xl/sharedStrings.xml><?xml version="1.0" encoding="utf-8"?>
<sst xmlns="http://schemas.openxmlformats.org/spreadsheetml/2006/main" count="495" uniqueCount="86">
  <si>
    <t>Mobilization and Temporary Works</t>
  </si>
  <si>
    <t>Civil Works</t>
  </si>
  <si>
    <t>Building Works</t>
  </si>
  <si>
    <t>CONSTRUCTION COST</t>
  </si>
  <si>
    <t>I.</t>
  </si>
  <si>
    <t>II.</t>
  </si>
  <si>
    <t>III.</t>
  </si>
  <si>
    <t>Airport Utilities</t>
  </si>
  <si>
    <t>Fire Fighting Equipment</t>
  </si>
  <si>
    <t>ENGINERING SERVICES</t>
  </si>
  <si>
    <t>ITEM</t>
  </si>
  <si>
    <t>TOTAL</t>
  </si>
  <si>
    <t>Visual Aids to Navigation</t>
  </si>
  <si>
    <t>Foreign</t>
  </si>
  <si>
    <t>Local</t>
  </si>
  <si>
    <t>Total</t>
  </si>
  <si>
    <t>CONTINGENCY</t>
  </si>
  <si>
    <t>Total Cost</t>
  </si>
  <si>
    <t>YEAR</t>
  </si>
  <si>
    <t>LAND  ACQUISITION</t>
  </si>
  <si>
    <t>Table 8-3  Estimated Annual Fund Requirements (PhP '000, 2002 Price Levels)</t>
  </si>
  <si>
    <t>PROJECT REVENUE</t>
  </si>
  <si>
    <t>Construction
Cost</t>
  </si>
  <si>
    <t>Operation
Maintenance</t>
  </si>
  <si>
    <t>FIRR =</t>
  </si>
  <si>
    <t>PROJECT COST</t>
  </si>
  <si>
    <t>NET
REVENUES</t>
  </si>
  <si>
    <t>Landing</t>
  </si>
  <si>
    <t>Aircraft Parking</t>
  </si>
  <si>
    <t>Passenger Service</t>
  </si>
  <si>
    <t>Rental of Floor Spaces at Terminal Buildings</t>
  </si>
  <si>
    <t>Rental of Floor Spaces at other Buildings</t>
  </si>
  <si>
    <t>Rental of Airport Land Areas</t>
  </si>
  <si>
    <t>Concession Privilege</t>
  </si>
  <si>
    <t>Aviation Fuel, Oil and Lubricant Services</t>
  </si>
  <si>
    <t>Advertising</t>
  </si>
  <si>
    <t>Other Fees and Charges</t>
  </si>
  <si>
    <t>NPV</t>
  </si>
  <si>
    <t>DISCOUNT RATES</t>
  </si>
  <si>
    <t>Assumption : 60 % Annual Tariff Increase for the first five (5) years</t>
  </si>
  <si>
    <t>Assumption : No Tariff Increase</t>
  </si>
  <si>
    <t xml:space="preserve">Assumption : 10 % Annual Tariff Increase </t>
  </si>
  <si>
    <t xml:space="preserve">Assumption : 20 % Annual Tariff Increase </t>
  </si>
  <si>
    <t>Assumption : 50 % Annual Tariff Increase for the first five (5) years</t>
  </si>
  <si>
    <t>Assumption : 70 % Annual Tariff Increase for the first five (5) years</t>
  </si>
  <si>
    <t>Assumption : 600 % Tariff Increase at opening year</t>
  </si>
  <si>
    <t>Assumption : 700 % Tariff Increase at opening year</t>
  </si>
  <si>
    <t>Assumption : 800 % Tariff Increase at opening year</t>
  </si>
  <si>
    <t>PRICE ESCALATION</t>
  </si>
  <si>
    <t>LOCAL DEVELOPMENT</t>
  </si>
  <si>
    <t>General Requirements</t>
  </si>
  <si>
    <t>Crash-Fire-Rescue Facilities</t>
  </si>
  <si>
    <t>Air Navigation Facilities</t>
  </si>
  <si>
    <t>Estimated Annual Fund Requirements (PhP '000, 2002 Price Levels)</t>
  </si>
  <si>
    <t>Utilities</t>
  </si>
  <si>
    <t>Navigational Aids</t>
  </si>
  <si>
    <t>Total Estimated O &amp; M Requirement</t>
  </si>
  <si>
    <t>Assumption : 80 % Annual Tariff Increase for the first five (5) years</t>
  </si>
  <si>
    <t>Assumption : 75 % Annual Tariff Increase for the first five (5) years</t>
  </si>
  <si>
    <t xml:space="preserve">Assumption : 25 % Annual Tariff Increase </t>
  </si>
  <si>
    <t xml:space="preserve">Assumption : 22 % Annual Tariff Increase </t>
  </si>
  <si>
    <t>ADMINISTRATION COST</t>
  </si>
  <si>
    <t>VALUE ADDED TAX</t>
  </si>
  <si>
    <t>NEGATIVE</t>
  </si>
  <si>
    <t>Assumption : 78.5 % Annual Tariff Increase for the first five (5) years</t>
  </si>
  <si>
    <t>IV.</t>
  </si>
  <si>
    <t>V.</t>
  </si>
  <si>
    <t>VI.</t>
  </si>
  <si>
    <t>VII.</t>
  </si>
  <si>
    <t>VIII.</t>
  </si>
  <si>
    <t>foreign</t>
  </si>
  <si>
    <t>local</t>
  </si>
  <si>
    <t>Table C.1-2  Financial Evaluation (with 10% Annual Tariff Increase)</t>
  </si>
  <si>
    <t>Table C.1-1  Financial Evaluation (No Tariff Increase)</t>
  </si>
  <si>
    <t>Table C.1-3  Financial Evaluation (with 20% Annual Tariff Increase)</t>
  </si>
  <si>
    <t>Table C.1-4  Financial Evaluation (with 22% Annual Tariff Increase)</t>
  </si>
  <si>
    <t>Table C.1-5  Financial Evaluation (with 25% Annual Tariff Increase)</t>
  </si>
  <si>
    <t>Table C.1-6  Financial Evaluation (with 50% Annual Tariff Increase for the first 5 Years)</t>
  </si>
  <si>
    <t>Table C.1-7  Financial Evaluation (with 60% Annual Tariff Increase for the first 5 Years)</t>
  </si>
  <si>
    <t>Table C.1-8  Financial Evaluation (with 70% Annual Tariff Increase for the first 5 Years)</t>
  </si>
  <si>
    <t>Table C.1-9  Financial Evaluation (with 75% Annual Tariff Increase for the first 5 Years)</t>
  </si>
  <si>
    <t>Table C.1-10  Financial Evaluation (with 78.5% Annual Tariff Increase for the first 5 Years)</t>
  </si>
  <si>
    <t>Table C.1-11  Financial Evaluation (with 80% Annual Tariff Increase for the first 5 Years)</t>
  </si>
  <si>
    <t>Table C.1-12  Financial Evaluation (with 600% Annual Tariff Increase on the Opening Year)</t>
  </si>
  <si>
    <t>Table C.1-13  Financial Evaluation (with 700% Annual Tariff Increase on the Opening Year)</t>
  </si>
  <si>
    <t>Table C.1-14  Financial Evaluation (with 800% Annual Tariff Increase on the Opening Year)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</si>
</sst>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0000%"/>
    <numFmt numFmtId="166" formatCode="0.000000%"/>
    <numFmt numFmtId="167" formatCode="0.00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3" fontId="5" fillId="0" borderId="3" xfId="0" applyNumberFormat="1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textRotation="90" wrapText="1"/>
    </xf>
    <xf numFmtId="167" fontId="1" fillId="0" borderId="1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7" fontId="0" fillId="0" borderId="0" xfId="0" applyNumberFormat="1" applyAlignment="1">
      <alignment/>
    </xf>
    <xf numFmtId="3" fontId="7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9" fontId="5" fillId="0" borderId="8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wrapText="1"/>
    </xf>
    <xf numFmtId="9" fontId="5" fillId="0" borderId="3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0" fontId="5" fillId="0" borderId="8" xfId="0" applyNumberFormat="1" applyFont="1" applyBorder="1" applyAlignment="1">
      <alignment horizontal="center" wrapText="1"/>
    </xf>
    <xf numFmtId="10" fontId="5" fillId="0" borderId="9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0" fontId="5" fillId="0" borderId="13" xfId="0" applyNumberFormat="1" applyFont="1" applyBorder="1" applyAlignment="1">
      <alignment horizontal="center" wrapText="1"/>
    </xf>
    <xf numFmtId="10" fontId="5" fillId="0" borderId="1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 wrapText="1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workbookViewId="0" topLeftCell="A1">
      <selection activeCell="A3" sqref="A3"/>
    </sheetView>
  </sheetViews>
  <sheetFormatPr defaultColWidth="9.140625" defaultRowHeight="12.75"/>
  <cols>
    <col min="1" max="1" width="6.140625" style="0" customWidth="1"/>
    <col min="2" max="2" width="37.421875" style="0" customWidth="1"/>
    <col min="3" max="3" width="8.8515625" style="0" customWidth="1"/>
    <col min="4" max="4" width="8.00390625" style="0" customWidth="1"/>
    <col min="5" max="6" width="7.421875" style="0" customWidth="1"/>
    <col min="7" max="7" width="8.00390625" style="0" customWidth="1"/>
    <col min="8" max="9" width="7.421875" style="0" customWidth="1"/>
    <col min="10" max="10" width="8.00390625" style="0" customWidth="1"/>
    <col min="11" max="12" width="7.421875" style="0" customWidth="1"/>
    <col min="13" max="13" width="8.00390625" style="0" customWidth="1"/>
    <col min="14" max="14" width="7.421875" style="0" customWidth="1"/>
    <col min="15" max="15" width="8.57421875" style="0" customWidth="1"/>
    <col min="16" max="16" width="8.00390625" style="0" customWidth="1"/>
    <col min="17" max="17" width="7.421875" style="0" customWidth="1"/>
    <col min="18" max="18" width="10.8515625" style="0" customWidth="1"/>
    <col min="20" max="20" width="10.140625" style="0" bestFit="1" customWidth="1"/>
  </cols>
  <sheetData>
    <row r="2" ht="12.75">
      <c r="C2" t="s">
        <v>53</v>
      </c>
    </row>
    <row r="3" ht="13.5" thickBot="1"/>
    <row r="4" spans="1:18" ht="12.75">
      <c r="A4" s="45" t="s">
        <v>10</v>
      </c>
      <c r="B4" s="46"/>
      <c r="C4" s="43" t="s">
        <v>17</v>
      </c>
      <c r="D4" s="41" t="s">
        <v>18</v>
      </c>
      <c r="E4" s="41"/>
      <c r="F4" s="41"/>
      <c r="G4" s="41" t="s">
        <v>18</v>
      </c>
      <c r="H4" s="41"/>
      <c r="I4" s="41"/>
      <c r="J4" s="41" t="s">
        <v>18</v>
      </c>
      <c r="K4" s="41"/>
      <c r="L4" s="41"/>
      <c r="M4" s="41" t="s">
        <v>18</v>
      </c>
      <c r="N4" s="41"/>
      <c r="O4" s="41"/>
      <c r="P4" s="41" t="s">
        <v>18</v>
      </c>
      <c r="Q4" s="41"/>
      <c r="R4" s="42"/>
    </row>
    <row r="5" spans="1:18" ht="12.75">
      <c r="A5" s="47"/>
      <c r="B5" s="48"/>
      <c r="C5" s="44"/>
      <c r="D5" s="49">
        <v>2005</v>
      </c>
      <c r="E5" s="49"/>
      <c r="F5" s="49"/>
      <c r="G5" s="49">
        <v>2006</v>
      </c>
      <c r="H5" s="49"/>
      <c r="I5" s="49"/>
      <c r="J5" s="49">
        <v>2007</v>
      </c>
      <c r="K5" s="49"/>
      <c r="L5" s="49"/>
      <c r="M5" s="49">
        <v>2008</v>
      </c>
      <c r="N5" s="49"/>
      <c r="O5" s="49"/>
      <c r="P5" s="49">
        <v>2009</v>
      </c>
      <c r="Q5" s="49"/>
      <c r="R5" s="50"/>
    </row>
    <row r="6" spans="1:18" ht="12.75">
      <c r="A6" s="47"/>
      <c r="B6" s="48"/>
      <c r="C6" s="44"/>
      <c r="D6" s="2" t="s">
        <v>13</v>
      </c>
      <c r="E6" s="2" t="s">
        <v>14</v>
      </c>
      <c r="F6" s="2" t="s">
        <v>15</v>
      </c>
      <c r="G6" s="2" t="s">
        <v>13</v>
      </c>
      <c r="H6" s="2" t="s">
        <v>14</v>
      </c>
      <c r="I6" s="2" t="s">
        <v>15</v>
      </c>
      <c r="J6" s="2" t="s">
        <v>13</v>
      </c>
      <c r="K6" s="2" t="s">
        <v>14</v>
      </c>
      <c r="L6" s="2" t="s">
        <v>15</v>
      </c>
      <c r="M6" s="2" t="s">
        <v>13</v>
      </c>
      <c r="N6" s="2" t="s">
        <v>14</v>
      </c>
      <c r="O6" s="2" t="s">
        <v>15</v>
      </c>
      <c r="P6" s="2" t="s">
        <v>13</v>
      </c>
      <c r="Q6" s="2" t="s">
        <v>14</v>
      </c>
      <c r="R6" s="10" t="s">
        <v>15</v>
      </c>
    </row>
    <row r="7" spans="1:18" ht="12.75">
      <c r="A7" s="5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1"/>
    </row>
    <row r="8" spans="1:20" ht="12.75">
      <c r="A8" s="5" t="s">
        <v>4</v>
      </c>
      <c r="B8" s="3" t="s">
        <v>49</v>
      </c>
      <c r="C8" s="8">
        <v>75000</v>
      </c>
      <c r="D8" s="8">
        <f>'Fund Requirement '!$C8*Discard2!D8</f>
        <v>0</v>
      </c>
      <c r="E8" s="8">
        <f>'Fund Requirement '!$C8*Discard2!E8</f>
        <v>37500</v>
      </c>
      <c r="F8" s="8">
        <f>SUM(D8:E8)</f>
        <v>37500</v>
      </c>
      <c r="G8" s="8">
        <f>'Fund Requirement '!$C8*Discard2!G8</f>
        <v>0</v>
      </c>
      <c r="H8" s="8">
        <f>'Fund Requirement '!$C8*Discard2!H8</f>
        <v>37500</v>
      </c>
      <c r="I8" s="8">
        <f>SUM(G8:H8)</f>
        <v>37500</v>
      </c>
      <c r="J8" s="8">
        <f>'Fund Requirement '!$C8*Discard2!J8</f>
        <v>0</v>
      </c>
      <c r="K8" s="8">
        <f>'Fund Requirement '!$C8*Discard2!K8</f>
        <v>0</v>
      </c>
      <c r="L8" s="8">
        <f>SUM(J8:K8)</f>
        <v>0</v>
      </c>
      <c r="M8" s="8">
        <f>'Fund Requirement '!$C8*Discard2!M8</f>
        <v>0</v>
      </c>
      <c r="N8" s="8">
        <f>'Fund Requirement '!$C8*Discard2!N8</f>
        <v>0</v>
      </c>
      <c r="O8" s="8">
        <f>SUM(M8:N8)</f>
        <v>0</v>
      </c>
      <c r="P8" s="8">
        <f>'Fund Requirement '!$C8*Discard2!P8</f>
        <v>0</v>
      </c>
      <c r="Q8" s="8">
        <f>'Fund Requirement '!$C8*Discard2!Q8</f>
        <v>0</v>
      </c>
      <c r="R8" s="12">
        <f>SUM(P8:Q8)</f>
        <v>0</v>
      </c>
      <c r="T8" s="18">
        <f>R8+O8+L8+I8+F8</f>
        <v>75000</v>
      </c>
    </row>
    <row r="9" spans="1:18" ht="12.75">
      <c r="A9" s="5"/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2"/>
    </row>
    <row r="10" spans="1:20" ht="12.75">
      <c r="A10" s="5" t="s">
        <v>5</v>
      </c>
      <c r="B10" s="3" t="s">
        <v>3</v>
      </c>
      <c r="C10" s="8">
        <f>SUM(C12:C17)</f>
        <v>2170359</v>
      </c>
      <c r="D10" s="8">
        <f>SUM(D12:D17)</f>
        <v>0</v>
      </c>
      <c r="E10" s="8">
        <f aca="true" t="shared" si="0" ref="E10:R10">SUM(E12:E17)</f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294535.7895329876</v>
      </c>
      <c r="K10" s="8">
        <f t="shared" si="0"/>
        <v>281049.5904670125</v>
      </c>
      <c r="L10" s="8">
        <f t="shared" si="0"/>
        <v>575585.38</v>
      </c>
      <c r="M10" s="8">
        <f t="shared" si="0"/>
        <v>306491.1305667141</v>
      </c>
      <c r="N10" s="8">
        <f t="shared" si="0"/>
        <v>338418.89943328593</v>
      </c>
      <c r="O10" s="8">
        <f t="shared" si="0"/>
        <v>644910.03</v>
      </c>
      <c r="P10" s="8">
        <f t="shared" si="0"/>
        <v>545006.4270609624</v>
      </c>
      <c r="Q10" s="8">
        <f t="shared" si="0"/>
        <v>404857.1629390375</v>
      </c>
      <c r="R10" s="12">
        <f t="shared" si="0"/>
        <v>949863.59</v>
      </c>
      <c r="T10" s="18">
        <f>R10+O10+L10+I10+F10</f>
        <v>2170359</v>
      </c>
    </row>
    <row r="11" spans="1:18" ht="12.75">
      <c r="A11" s="5"/>
      <c r="B11" s="3"/>
      <c r="C11" s="3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2"/>
    </row>
    <row r="12" spans="1:21" ht="12.75">
      <c r="A12" s="6">
        <v>1</v>
      </c>
      <c r="B12" s="3" t="s">
        <v>50</v>
      </c>
      <c r="C12" s="8">
        <v>127202</v>
      </c>
      <c r="D12" s="8">
        <f>'Fund Requirement '!$C12*Discard2!D12</f>
        <v>0</v>
      </c>
      <c r="E12" s="8">
        <f>'Fund Requirement '!$C12*Discard2!E12</f>
        <v>0</v>
      </c>
      <c r="F12" s="8">
        <f aca="true" t="shared" si="1" ref="F12:F17">SUM(D12:E12)</f>
        <v>0</v>
      </c>
      <c r="G12" s="8">
        <f>'Fund Requirement '!$C12*Discard2!G12</f>
        <v>0</v>
      </c>
      <c r="H12" s="8">
        <f>'Fund Requirement '!$C12*Discard2!H12</f>
        <v>0</v>
      </c>
      <c r="I12" s="8">
        <f aca="true" t="shared" si="2" ref="I12:I17">SUM(G12:H12)</f>
        <v>0</v>
      </c>
      <c r="J12" s="8">
        <f>'Fund Requirement '!$C12*Discard2!J12</f>
        <v>33082.03602720377</v>
      </c>
      <c r="K12" s="8">
        <f>'Fund Requirement '!$C12*Discard2!K12</f>
        <v>47055.22397279623</v>
      </c>
      <c r="L12" s="8">
        <f>SUM(J12:K12)</f>
        <v>80137.26000000001</v>
      </c>
      <c r="M12" s="8">
        <f>'Fund Requirement '!$C12*Discard2!M12</f>
        <v>0</v>
      </c>
      <c r="N12" s="8">
        <f>'Fund Requirement '!$C12*Discard2!N12</f>
        <v>22896.36</v>
      </c>
      <c r="O12" s="8">
        <f aca="true" t="shared" si="3" ref="O12:O17">SUM(M12:N12)</f>
        <v>22896.36</v>
      </c>
      <c r="P12" s="8">
        <f>'Fund Requirement '!$C12*Discard2!P12</f>
        <v>0</v>
      </c>
      <c r="Q12" s="8">
        <f>'Fund Requirement '!$C12*Discard2!Q12</f>
        <v>24168.38</v>
      </c>
      <c r="R12" s="12">
        <f aca="true" t="shared" si="4" ref="R12:R17">SUM(P12:Q12)</f>
        <v>24168.38</v>
      </c>
      <c r="T12" s="18">
        <f aca="true" t="shared" si="5" ref="T12:T17">R12+O12+L12+I12+F12</f>
        <v>127202.00000000001</v>
      </c>
      <c r="U12" s="18"/>
    </row>
    <row r="13" spans="1:20" ht="12.75">
      <c r="A13" s="6">
        <v>2</v>
      </c>
      <c r="B13" s="3" t="s">
        <v>1</v>
      </c>
      <c r="C13" s="8">
        <v>1085209</v>
      </c>
      <c r="D13" s="8">
        <f>'Fund Requirement '!$C13*Discard2!D13</f>
        <v>0</v>
      </c>
      <c r="E13" s="8">
        <f>'Fund Requirement '!$C13*Discard2!E13</f>
        <v>0</v>
      </c>
      <c r="F13" s="8">
        <f t="shared" si="1"/>
        <v>0</v>
      </c>
      <c r="G13" s="8">
        <f>'Fund Requirement '!$C13*Discard2!G13</f>
        <v>0</v>
      </c>
      <c r="H13" s="8">
        <f>'Fund Requirement '!$C13*Discard2!H13</f>
        <v>0</v>
      </c>
      <c r="I13" s="8">
        <f t="shared" si="2"/>
        <v>0</v>
      </c>
      <c r="J13" s="8">
        <f>'Fund Requirement '!$C13*Discard2!J13</f>
        <v>129872.63906879058</v>
      </c>
      <c r="K13" s="8">
        <f>'Fund Requirement '!$C13*Discard2!K13</f>
        <v>173985.88093120945</v>
      </c>
      <c r="L13" s="8">
        <f>SUM(J13:K13)</f>
        <v>303858.52</v>
      </c>
      <c r="M13" s="8">
        <f>'Fund Requirement '!$C13*Discard2!M13</f>
        <v>160721.76932541784</v>
      </c>
      <c r="N13" s="8">
        <f>'Fund Requirement '!$C13*Discard2!N13</f>
        <v>240805.56067458217</v>
      </c>
      <c r="O13" s="8">
        <f t="shared" si="3"/>
        <v>401527.33</v>
      </c>
      <c r="P13" s="8">
        <f>'Fund Requirement '!$C13*Discard2!P13</f>
        <v>164558.02865382208</v>
      </c>
      <c r="Q13" s="8">
        <f>'Fund Requirement '!$C13*Discard2!Q13</f>
        <v>215265.12134617794</v>
      </c>
      <c r="R13" s="12">
        <f t="shared" si="4"/>
        <v>379823.15</v>
      </c>
      <c r="T13" s="18">
        <f t="shared" si="5"/>
        <v>1085209</v>
      </c>
    </row>
    <row r="14" spans="1:20" ht="12.75">
      <c r="A14" s="6">
        <v>3</v>
      </c>
      <c r="B14" s="3" t="s">
        <v>2</v>
      </c>
      <c r="C14" s="8">
        <v>347778</v>
      </c>
      <c r="D14" s="8">
        <f>'Fund Requirement '!$C14*Discard2!D14</f>
        <v>0</v>
      </c>
      <c r="E14" s="8">
        <f>'Fund Requirement '!$C14*Discard2!E14</f>
        <v>0</v>
      </c>
      <c r="F14" s="8">
        <f t="shared" si="1"/>
        <v>0</v>
      </c>
      <c r="G14" s="8">
        <f>'Fund Requirement '!$C14*Discard2!G14</f>
        <v>0</v>
      </c>
      <c r="H14" s="8">
        <f>'Fund Requirement '!$C14*Discard2!H14</f>
        <v>0</v>
      </c>
      <c r="I14" s="8">
        <f t="shared" si="2"/>
        <v>0</v>
      </c>
      <c r="J14" s="8">
        <f>'Fund Requirement '!$C14*Discard2!J14</f>
        <v>33824.87187129105</v>
      </c>
      <c r="K14" s="8">
        <f>'Fund Requirement '!$C14*Discard2!K14</f>
        <v>35730.728128708965</v>
      </c>
      <c r="L14" s="8">
        <f>SUM(J14:K14)</f>
        <v>69555.6</v>
      </c>
      <c r="M14" s="8">
        <f>'Fund Requirement '!$C14*Discard2!M14</f>
        <v>46789.81366464023</v>
      </c>
      <c r="N14" s="8">
        <f>'Fund Requirement '!$C14*Discard2!N14</f>
        <v>47110.24633535978</v>
      </c>
      <c r="O14" s="8">
        <f t="shared" si="3"/>
        <v>93900.06</v>
      </c>
      <c r="P14" s="8">
        <f>'Fund Requirement '!$C14*Discard2!P14</f>
        <v>88514.04649328205</v>
      </c>
      <c r="Q14" s="8">
        <f>'Fund Requirement '!$C14*Discard2!Q14</f>
        <v>95808.29350671794</v>
      </c>
      <c r="R14" s="12">
        <f t="shared" si="4"/>
        <v>184322.33999999997</v>
      </c>
      <c r="T14" s="18">
        <f t="shared" si="5"/>
        <v>347778</v>
      </c>
    </row>
    <row r="15" spans="1:20" ht="12.75">
      <c r="A15" s="6">
        <v>4</v>
      </c>
      <c r="B15" s="3" t="s">
        <v>7</v>
      </c>
      <c r="C15" s="8">
        <v>252719</v>
      </c>
      <c r="D15" s="8">
        <f>'Fund Requirement '!$C15*Discard2!D15</f>
        <v>0</v>
      </c>
      <c r="E15" s="8">
        <f>'Fund Requirement '!$C15*Discard2!E15</f>
        <v>0</v>
      </c>
      <c r="F15" s="8">
        <f t="shared" si="1"/>
        <v>0</v>
      </c>
      <c r="G15" s="8">
        <f>'Fund Requirement '!$C15*Discard2!G15</f>
        <v>0</v>
      </c>
      <c r="H15" s="8">
        <f>'Fund Requirement '!$C15*Discard2!H15</f>
        <v>0</v>
      </c>
      <c r="I15" s="8">
        <f t="shared" si="2"/>
        <v>0</v>
      </c>
      <c r="J15" s="8">
        <f>'Fund Requirement '!$C15*Discard2!J15</f>
        <v>38596.98720055168</v>
      </c>
      <c r="K15" s="8">
        <f>'Fund Requirement '!$C15*Discard2!K15</f>
        <v>11946.812799448326</v>
      </c>
      <c r="L15" s="8">
        <f>SUM(J15:K15)</f>
        <v>50543.8</v>
      </c>
      <c r="M15" s="8">
        <f>'Fund Requirement '!$C15*Discard2!M15</f>
        <v>38594.18713546926</v>
      </c>
      <c r="N15" s="8">
        <f>'Fund Requirement '!$C15*Discard2!N15</f>
        <v>11949.612864530738</v>
      </c>
      <c r="O15" s="8">
        <f t="shared" si="3"/>
        <v>50543.8</v>
      </c>
      <c r="P15" s="8">
        <f>'Fund Requirement '!$C15*Discard2!P15</f>
        <v>115793.33095342095</v>
      </c>
      <c r="Q15" s="8">
        <f>'Fund Requirement '!$C15*Discard2!Q15</f>
        <v>35838.06904657904</v>
      </c>
      <c r="R15" s="12">
        <f t="shared" si="4"/>
        <v>151631.4</v>
      </c>
      <c r="T15" s="18">
        <f t="shared" si="5"/>
        <v>252719</v>
      </c>
    </row>
    <row r="16" spans="1:20" ht="12.75">
      <c r="A16" s="6">
        <v>5</v>
      </c>
      <c r="B16" s="3" t="s">
        <v>51</v>
      </c>
      <c r="C16" s="8">
        <v>78543</v>
      </c>
      <c r="D16" s="8">
        <f>'Fund Requirement '!$C16*Discard2!D16</f>
        <v>0</v>
      </c>
      <c r="E16" s="8">
        <f>'Fund Requirement '!$C16*Discard2!E16</f>
        <v>0</v>
      </c>
      <c r="F16" s="8">
        <f t="shared" si="1"/>
        <v>0</v>
      </c>
      <c r="G16" s="8">
        <f>'Fund Requirement '!$C16*Discard2!G16</f>
        <v>0</v>
      </c>
      <c r="H16" s="8">
        <f>'Fund Requirement '!$C16*Discard2!H16</f>
        <v>0</v>
      </c>
      <c r="I16" s="8">
        <f t="shared" si="2"/>
        <v>0</v>
      </c>
      <c r="J16" s="8">
        <f>'Fund Requirement '!$C16*Discard2!J16</f>
        <v>14804.396580113995</v>
      </c>
      <c r="K16" s="8">
        <f>'Fund Requirement '!$C16*Discard2!K16</f>
        <v>904.2034198860039</v>
      </c>
      <c r="L16" s="8">
        <f>SUM(J16:K16)</f>
        <v>15708.599999999999</v>
      </c>
      <c r="M16" s="8">
        <f>'Fund Requirement '!$C16*Discard2!M16</f>
        <v>29609.86674876414</v>
      </c>
      <c r="N16" s="8">
        <f>'Fund Requirement '!$C16*Discard2!N16</f>
        <v>1807.3332512358606</v>
      </c>
      <c r="O16" s="8">
        <f t="shared" si="3"/>
        <v>31417.2</v>
      </c>
      <c r="P16" s="8">
        <f>'Fund Requirement '!$C16*Discard2!P16</f>
        <v>29609.86674876414</v>
      </c>
      <c r="Q16" s="8">
        <f>'Fund Requirement '!$C16*Discard2!Q16</f>
        <v>1807.3332512358606</v>
      </c>
      <c r="R16" s="12">
        <f t="shared" si="4"/>
        <v>31417.2</v>
      </c>
      <c r="T16" s="18">
        <f t="shared" si="5"/>
        <v>78543</v>
      </c>
    </row>
    <row r="17" spans="1:20" ht="12.75">
      <c r="A17" s="6">
        <v>6</v>
      </c>
      <c r="B17" s="3" t="s">
        <v>52</v>
      </c>
      <c r="C17" s="8">
        <v>278908</v>
      </c>
      <c r="D17" s="8">
        <f>'Fund Requirement '!$C17*Discard2!D17</f>
        <v>0</v>
      </c>
      <c r="E17" s="8">
        <f>'Fund Requirement '!$C17*Discard2!E17</f>
        <v>0</v>
      </c>
      <c r="F17" s="8">
        <f t="shared" si="1"/>
        <v>0</v>
      </c>
      <c r="G17" s="8">
        <f>'Fund Requirement '!$C17*Discard2!G17</f>
        <v>0</v>
      </c>
      <c r="H17" s="8">
        <f>'Fund Requirement '!$C17*Discard2!H17</f>
        <v>0</v>
      </c>
      <c r="I17" s="8">
        <f t="shared" si="2"/>
        <v>0</v>
      </c>
      <c r="J17" s="8">
        <f>'Fund Requirement '!$C17*Discard2!J17</f>
        <v>44354.85878503653</v>
      </c>
      <c r="K17" s="8">
        <f>'Fund Requirement '!$C17*Discard2!K17</f>
        <v>11426.741214963464</v>
      </c>
      <c r="L17" s="8">
        <f>SUM(J17:K17)</f>
        <v>55781.59999999999</v>
      </c>
      <c r="M17" s="8">
        <f>'Fund Requirement '!$C17*Discard2!M17</f>
        <v>30775.49369242264</v>
      </c>
      <c r="N17" s="8">
        <f>'Fund Requirement '!$C17*Discard2!N17</f>
        <v>13849.786307577366</v>
      </c>
      <c r="O17" s="8">
        <f t="shared" si="3"/>
        <v>44625.280000000006</v>
      </c>
      <c r="P17" s="8">
        <f>'Fund Requirement '!$C17*Discard2!P17</f>
        <v>146531.1542116733</v>
      </c>
      <c r="Q17" s="8">
        <f>'Fund Requirement '!$C17*Discard2!Q17</f>
        <v>31969.96578832668</v>
      </c>
      <c r="R17" s="12">
        <f t="shared" si="4"/>
        <v>178501.12</v>
      </c>
      <c r="T17" s="18">
        <f t="shared" si="5"/>
        <v>278908</v>
      </c>
    </row>
    <row r="18" spans="1:18" ht="12.75">
      <c r="A18" s="6"/>
      <c r="B18" s="3"/>
      <c r="C18" s="3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2"/>
    </row>
    <row r="19" spans="1:20" ht="12.75">
      <c r="A19" s="5" t="s">
        <v>6</v>
      </c>
      <c r="B19" s="4" t="s">
        <v>9</v>
      </c>
      <c r="C19" s="8">
        <v>527892</v>
      </c>
      <c r="D19" s="8">
        <f>0.8*F19</f>
        <v>42231.36000000001</v>
      </c>
      <c r="E19" s="8">
        <f>0.2*F19</f>
        <v>10557.840000000002</v>
      </c>
      <c r="F19" s="8">
        <f>0.1*C19</f>
        <v>52789.200000000004</v>
      </c>
      <c r="G19" s="8">
        <f>0.8*I19</f>
        <v>63347.04000000001</v>
      </c>
      <c r="H19" s="8">
        <f>0.2*I19</f>
        <v>15836.760000000002</v>
      </c>
      <c r="I19" s="8">
        <f>0.15*C19</f>
        <v>79183.8</v>
      </c>
      <c r="J19" s="8">
        <f>0.8*L19</f>
        <v>84462.72000000002</v>
      </c>
      <c r="K19" s="8">
        <f>0.2*L19</f>
        <v>21115.680000000004</v>
      </c>
      <c r="L19" s="8">
        <f>0.2*C19</f>
        <v>105578.40000000001</v>
      </c>
      <c r="M19" s="8">
        <f>0.8*O19</f>
        <v>147809.75999999998</v>
      </c>
      <c r="N19" s="8">
        <f>0.2*O19</f>
        <v>36952.439999999995</v>
      </c>
      <c r="O19" s="8">
        <f>0.35*C19</f>
        <v>184762.19999999998</v>
      </c>
      <c r="P19" s="8">
        <f>0.8*R19</f>
        <v>84462.72000000002</v>
      </c>
      <c r="Q19" s="8">
        <f>0.2*R19</f>
        <v>21115.680000000004</v>
      </c>
      <c r="R19" s="12">
        <f>0.2*C19</f>
        <v>105578.40000000001</v>
      </c>
      <c r="T19" s="18">
        <f>R19+O19+L19+I19+F19</f>
        <v>527892</v>
      </c>
    </row>
    <row r="20" spans="1:20" ht="12.75">
      <c r="A20" s="5"/>
      <c r="B20" s="4"/>
      <c r="C20" s="3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2"/>
      <c r="T20" s="1"/>
    </row>
    <row r="21" spans="1:20" ht="12.75">
      <c r="A21" s="5" t="s">
        <v>65</v>
      </c>
      <c r="B21" s="9" t="s">
        <v>16</v>
      </c>
      <c r="C21" s="8">
        <v>217035.9</v>
      </c>
      <c r="D21" s="8">
        <f>0.1*(D10)</f>
        <v>0</v>
      </c>
      <c r="E21" s="8">
        <f aca="true" t="shared" si="6" ref="E21:R21">0.1*(E10)</f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8">
        <f>0.1*(J10)</f>
        <v>29453.57895329876</v>
      </c>
      <c r="K21" s="8">
        <f t="shared" si="6"/>
        <v>28104.95904670125</v>
      </c>
      <c r="L21" s="8">
        <f t="shared" si="6"/>
        <v>57558.538</v>
      </c>
      <c r="M21" s="8">
        <f>0.1*(M10)</f>
        <v>30649.113056671413</v>
      </c>
      <c r="N21" s="8">
        <f t="shared" si="6"/>
        <v>33841.88994332859</v>
      </c>
      <c r="O21" s="8">
        <f t="shared" si="6"/>
        <v>64491.003000000004</v>
      </c>
      <c r="P21" s="8">
        <f t="shared" si="6"/>
        <v>54500.642706096245</v>
      </c>
      <c r="Q21" s="8">
        <f t="shared" si="6"/>
        <v>40485.71629390375</v>
      </c>
      <c r="R21" s="12">
        <f t="shared" si="6"/>
        <v>94986.359</v>
      </c>
      <c r="T21" s="18">
        <f>R21+O21+L21+I21+F21</f>
        <v>217035.9</v>
      </c>
    </row>
    <row r="22" spans="1:20" ht="12.75">
      <c r="A22" s="5" t="s">
        <v>66</v>
      </c>
      <c r="B22" s="9" t="s">
        <v>48</v>
      </c>
      <c r="C22" s="8">
        <f>SUM(E29:R29)</f>
        <v>76633.06193804827</v>
      </c>
      <c r="D22" s="8">
        <f>'Fund Requirement '!$C22*Discard2!D22</f>
        <v>0</v>
      </c>
      <c r="E22" s="8">
        <v>319.91310983999915</v>
      </c>
      <c r="F22" s="8">
        <f>SUM(D22:E22)</f>
        <v>319.91310983999915</v>
      </c>
      <c r="G22" s="8">
        <f>'Fund Requirement '!$C22*Discard2!G22</f>
        <v>0</v>
      </c>
      <c r="H22" s="8">
        <v>643.0359614076004</v>
      </c>
      <c r="I22" s="8">
        <f>SUM(G22:H22)</f>
        <v>643.0359614076004</v>
      </c>
      <c r="J22" s="8">
        <f>'Fund Requirement '!$C22*Discard2!J22</f>
        <v>0</v>
      </c>
      <c r="K22" s="8">
        <v>16847.100954033012</v>
      </c>
      <c r="L22" s="8">
        <f>SUM(J22:K22)</f>
        <v>16847.100954033012</v>
      </c>
      <c r="M22" s="8">
        <f>'Fund Requirement '!$C22*Discard2!M22</f>
        <v>0</v>
      </c>
      <c r="N22" s="8">
        <v>25174.859499170936</v>
      </c>
      <c r="O22" s="8">
        <f>SUM(M22:N22)</f>
        <v>25174.859499170936</v>
      </c>
      <c r="P22" s="8">
        <f>'Fund Requirement '!$C22*Discard2!P22</f>
        <v>0</v>
      </c>
      <c r="Q22" s="8">
        <v>33648.15241359672</v>
      </c>
      <c r="R22" s="12">
        <f>SUM(P22:Q22)</f>
        <v>33648.15241359672</v>
      </c>
      <c r="T22" s="18">
        <f>R22+O22+L22+I22+F22</f>
        <v>76633.06193804827</v>
      </c>
    </row>
    <row r="23" spans="1:20" ht="12.75">
      <c r="A23" s="5" t="s">
        <v>67</v>
      </c>
      <c r="B23" s="9" t="s">
        <v>61</v>
      </c>
      <c r="C23" s="8">
        <v>60000</v>
      </c>
      <c r="D23" s="8">
        <f>0.8*F23</f>
        <v>4800</v>
      </c>
      <c r="E23" s="8">
        <f>0.2*F23</f>
        <v>1200</v>
      </c>
      <c r="F23" s="8">
        <f>0.1*C23</f>
        <v>6000</v>
      </c>
      <c r="G23" s="8">
        <f>0.8*I23</f>
        <v>7200</v>
      </c>
      <c r="H23" s="8">
        <f>0.2*I23</f>
        <v>1800</v>
      </c>
      <c r="I23" s="8">
        <f>0.15*C23</f>
        <v>9000</v>
      </c>
      <c r="J23" s="8">
        <f>0.8*L23</f>
        <v>9600</v>
      </c>
      <c r="K23" s="8">
        <f>0.2*L23</f>
        <v>2400</v>
      </c>
      <c r="L23" s="8">
        <f>0.2*C23</f>
        <v>12000</v>
      </c>
      <c r="M23" s="8">
        <f>0.8*O23</f>
        <v>16800</v>
      </c>
      <c r="N23" s="8">
        <f>0.2*O23</f>
        <v>4200</v>
      </c>
      <c r="O23" s="8">
        <f>0.35*C23</f>
        <v>21000</v>
      </c>
      <c r="P23" s="8">
        <f>0.8*R23</f>
        <v>9600</v>
      </c>
      <c r="Q23" s="8">
        <f>0.2*R23</f>
        <v>2400</v>
      </c>
      <c r="R23" s="12">
        <f>0.2*C23</f>
        <v>12000</v>
      </c>
      <c r="T23" s="18">
        <f>R23+O23+L23+I23+F23</f>
        <v>60000</v>
      </c>
    </row>
    <row r="24" spans="1:20" ht="12.75">
      <c r="A24" s="5" t="s">
        <v>68</v>
      </c>
      <c r="B24" s="9" t="s">
        <v>62</v>
      </c>
      <c r="C24" s="8">
        <f>0.1*(C23+C22+C21+C19+C10+C8)</f>
        <v>312691.99619380484</v>
      </c>
      <c r="D24" s="8">
        <f aca="true" t="shared" si="7" ref="D24:R24">0.1*(D23+D22+D21+D19+D10+D8)</f>
        <v>4703.136000000001</v>
      </c>
      <c r="E24" s="8">
        <f t="shared" si="7"/>
        <v>4957.7753109840005</v>
      </c>
      <c r="F24" s="8">
        <f t="shared" si="7"/>
        <v>9660.911310984002</v>
      </c>
      <c r="G24" s="8">
        <f t="shared" si="7"/>
        <v>7054.7040000000015</v>
      </c>
      <c r="H24" s="8">
        <f t="shared" si="7"/>
        <v>5577.979596140761</v>
      </c>
      <c r="I24" s="8">
        <f t="shared" si="7"/>
        <v>12632.683596140761</v>
      </c>
      <c r="J24" s="8">
        <f t="shared" si="7"/>
        <v>41805.20884862864</v>
      </c>
      <c r="K24" s="8">
        <f t="shared" si="7"/>
        <v>34951.73304677468</v>
      </c>
      <c r="L24" s="8">
        <f t="shared" si="7"/>
        <v>76756.9418954033</v>
      </c>
      <c r="M24" s="8">
        <f t="shared" si="7"/>
        <v>50175.00036233856</v>
      </c>
      <c r="N24" s="8">
        <f t="shared" si="7"/>
        <v>43858.80888757855</v>
      </c>
      <c r="O24" s="8">
        <f t="shared" si="7"/>
        <v>94033.8092499171</v>
      </c>
      <c r="P24" s="8">
        <f t="shared" si="7"/>
        <v>69356.97897670587</v>
      </c>
      <c r="Q24" s="8">
        <f t="shared" si="7"/>
        <v>50250.6711646538</v>
      </c>
      <c r="R24" s="8">
        <f t="shared" si="7"/>
        <v>119607.65014135969</v>
      </c>
      <c r="T24" s="18">
        <f>R24+O24+L24+I24+F24</f>
        <v>312691.99619380484</v>
      </c>
    </row>
    <row r="25" spans="1:21" ht="13.5" thickBot="1">
      <c r="A25" s="35" t="s">
        <v>69</v>
      </c>
      <c r="B25" s="15" t="s">
        <v>11</v>
      </c>
      <c r="C25" s="16">
        <f>C24+C23+C22+C21+C19+C10+C8</f>
        <v>3439611.958131853</v>
      </c>
      <c r="D25" s="16">
        <f aca="true" t="shared" si="8" ref="D25:R25">D24+D23+D22+D21+D19+D10+D8</f>
        <v>51734.496000000014</v>
      </c>
      <c r="E25" s="16">
        <f t="shared" si="8"/>
        <v>54535.528420824005</v>
      </c>
      <c r="F25" s="16">
        <f t="shared" si="8"/>
        <v>106270.024420824</v>
      </c>
      <c r="G25" s="16">
        <f t="shared" si="8"/>
        <v>77601.744</v>
      </c>
      <c r="H25" s="16">
        <f t="shared" si="8"/>
        <v>61357.77555754836</v>
      </c>
      <c r="I25" s="16">
        <f t="shared" si="8"/>
        <v>138959.51955754837</v>
      </c>
      <c r="J25" s="16">
        <f t="shared" si="8"/>
        <v>459857.29733491497</v>
      </c>
      <c r="K25" s="16">
        <f t="shared" si="8"/>
        <v>384469.06351452146</v>
      </c>
      <c r="L25" s="16">
        <f t="shared" si="8"/>
        <v>844326.3608494364</v>
      </c>
      <c r="M25" s="16">
        <f t="shared" si="8"/>
        <v>551925.0039857241</v>
      </c>
      <c r="N25" s="16">
        <f t="shared" si="8"/>
        <v>482446.897763364</v>
      </c>
      <c r="O25" s="16">
        <f t="shared" si="8"/>
        <v>1034371.9017490881</v>
      </c>
      <c r="P25" s="16">
        <f t="shared" si="8"/>
        <v>762926.7687437646</v>
      </c>
      <c r="Q25" s="16">
        <f t="shared" si="8"/>
        <v>552757.3828111917</v>
      </c>
      <c r="R25" s="16">
        <f t="shared" si="8"/>
        <v>1315684.1515549563</v>
      </c>
      <c r="T25" s="16">
        <f>T24+T23+T22+T21+T19+T10+T8</f>
        <v>3439611.958131853</v>
      </c>
      <c r="U25" s="18">
        <f>R25+O25+L25+I25+F25</f>
        <v>3439611.958131853</v>
      </c>
    </row>
    <row r="26" ht="12.75">
      <c r="J26" s="39">
        <f>+J10+M10+P10</f>
        <v>1146033.3471606642</v>
      </c>
    </row>
    <row r="27" spans="3:20" ht="12.75">
      <c r="C27" s="18"/>
      <c r="J27" s="18">
        <f>+J21+M21+P21</f>
        <v>114603.33471606641</v>
      </c>
      <c r="K27" s="18"/>
      <c r="L27" s="18"/>
      <c r="T27" s="18">
        <f>T25+185700</f>
        <v>3625311.958131853</v>
      </c>
    </row>
    <row r="29" spans="5:19" ht="12.75">
      <c r="E29">
        <f>((1.01^3)-1)*(E$21+E$19+E$10)</f>
        <v>319.91310983999915</v>
      </c>
      <c r="H29">
        <f>((1.01^4)-1)*(H$21+H$19+H$10)</f>
        <v>643.0359614076004</v>
      </c>
      <c r="K29">
        <f>((1.01^5)-1)*(K$21+K$19+K$10)</f>
        <v>16847.100954033012</v>
      </c>
      <c r="N29">
        <f>((1.01^6)-1)*(N$21+N$19+N$10)</f>
        <v>25174.859499170936</v>
      </c>
      <c r="Q29">
        <f>((1.01^7)-1)*(Q$21+Q$19+Q$10)</f>
        <v>33648.15241359672</v>
      </c>
      <c r="S29">
        <f>SUM(E29:R29)</f>
        <v>76633.06193804827</v>
      </c>
    </row>
    <row r="31" spans="2:20" ht="12.75">
      <c r="B31" t="s">
        <v>70</v>
      </c>
      <c r="C31" s="1"/>
      <c r="D31" s="18">
        <f>+D10*(2102109/2170359)+D19+D21+D22</f>
        <v>42231.36000000001</v>
      </c>
      <c r="E31" s="18">
        <f aca="true" t="shared" si="9" ref="E31:R31">+E10*(2102109/2170359)+E19+E21+E22</f>
        <v>10877.753109840001</v>
      </c>
      <c r="F31" s="40">
        <f t="shared" si="9"/>
        <v>53109.11310984</v>
      </c>
      <c r="G31" s="18">
        <f t="shared" si="9"/>
        <v>63347.04000000001</v>
      </c>
      <c r="H31" s="18">
        <f t="shared" si="9"/>
        <v>16479.795961407603</v>
      </c>
      <c r="I31" s="40">
        <f t="shared" si="9"/>
        <v>79826.8359614076</v>
      </c>
      <c r="J31" s="18">
        <f t="shared" si="9"/>
        <v>399189.99514798314</v>
      </c>
      <c r="K31" s="18">
        <f t="shared" si="9"/>
        <v>338279.32968106883</v>
      </c>
      <c r="L31" s="40">
        <f t="shared" si="9"/>
        <v>737469.324829052</v>
      </c>
      <c r="M31" s="18">
        <f t="shared" si="9"/>
        <v>475311.95772352366</v>
      </c>
      <c r="N31" s="18">
        <f t="shared" si="9"/>
        <v>423746.0292504784</v>
      </c>
      <c r="O31" s="40">
        <f t="shared" si="9"/>
        <v>899057.9869740021</v>
      </c>
      <c r="P31" s="18">
        <f t="shared" si="9"/>
        <v>666831.2939482054</v>
      </c>
      <c r="Q31" s="18">
        <f t="shared" si="9"/>
        <v>487375.4071155414</v>
      </c>
      <c r="R31" s="40">
        <f t="shared" si="9"/>
        <v>1154206.7010637468</v>
      </c>
      <c r="T31" s="18">
        <f>+R31+O31+L31+I31+F31</f>
        <v>2923669.9619380482</v>
      </c>
    </row>
    <row r="32" spans="2:20" ht="12.75">
      <c r="B32" t="s">
        <v>71</v>
      </c>
      <c r="C32" s="1"/>
      <c r="D32" s="18">
        <f>+D25-D31</f>
        <v>9503.136000000006</v>
      </c>
      <c r="E32" s="18">
        <f aca="true" t="shared" si="10" ref="E32:R32">+E25-E31</f>
        <v>43657.775310984005</v>
      </c>
      <c r="F32" s="18">
        <f t="shared" si="10"/>
        <v>53160.911310984004</v>
      </c>
      <c r="G32" s="18">
        <f t="shared" si="10"/>
        <v>14254.703999999998</v>
      </c>
      <c r="H32" s="18">
        <f t="shared" si="10"/>
        <v>44877.97959614076</v>
      </c>
      <c r="I32" s="18">
        <f t="shared" si="10"/>
        <v>59132.68359614076</v>
      </c>
      <c r="J32" s="18">
        <f t="shared" si="10"/>
        <v>60667.30218693183</v>
      </c>
      <c r="K32" s="18">
        <f t="shared" si="10"/>
        <v>46189.73383345263</v>
      </c>
      <c r="L32" s="18">
        <f t="shared" si="10"/>
        <v>106857.0360203844</v>
      </c>
      <c r="M32" s="18">
        <f t="shared" si="10"/>
        <v>76613.0462622004</v>
      </c>
      <c r="N32" s="18">
        <f t="shared" si="10"/>
        <v>58700.868512885645</v>
      </c>
      <c r="O32" s="18">
        <f t="shared" si="10"/>
        <v>135313.91477508598</v>
      </c>
      <c r="P32" s="18">
        <f t="shared" si="10"/>
        <v>96095.47479555919</v>
      </c>
      <c r="Q32" s="18">
        <f t="shared" si="10"/>
        <v>65381.975695650326</v>
      </c>
      <c r="R32" s="18">
        <f t="shared" si="10"/>
        <v>161477.4504912095</v>
      </c>
      <c r="T32" s="18">
        <f>+R32+O32+L32+I32+F32</f>
        <v>515941.99619380466</v>
      </c>
    </row>
    <row r="33" ht="12.75">
      <c r="C33" s="1"/>
    </row>
  </sheetData>
  <mergeCells count="12">
    <mergeCell ref="C4:C6"/>
    <mergeCell ref="A4:B6"/>
    <mergeCell ref="M5:O5"/>
    <mergeCell ref="P5:R5"/>
    <mergeCell ref="D5:F5"/>
    <mergeCell ref="G5:I5"/>
    <mergeCell ref="J5:L5"/>
    <mergeCell ref="D4:F4"/>
    <mergeCell ref="G4:I4"/>
    <mergeCell ref="J4:L4"/>
    <mergeCell ref="M4:O4"/>
    <mergeCell ref="P4:R4"/>
  </mergeCells>
  <printOptions horizontalCentered="1" verticalCentered="1"/>
  <pageMargins left="0.75" right="0.75" top="1.25" bottom="1" header="0.5" footer="0.5"/>
  <pageSetup fitToHeight="1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7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80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v>106270</v>
      </c>
      <c r="C5" s="19">
        <v>0</v>
      </c>
      <c r="D5" s="20">
        <f aca="true" t="shared" si="0" ref="D5:D29">C5+B5</f>
        <v>106270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</v>
      </c>
    </row>
    <row r="6" spans="1:16" ht="12.75">
      <c r="A6" s="21">
        <v>2006</v>
      </c>
      <c r="B6" s="20">
        <v>138960</v>
      </c>
      <c r="C6" s="19">
        <v>0</v>
      </c>
      <c r="D6" s="20">
        <f t="shared" si="0"/>
        <v>138960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-138960</v>
      </c>
    </row>
    <row r="7" spans="1:16" ht="12.75">
      <c r="A7" s="21">
        <v>2007</v>
      </c>
      <c r="B7" s="20">
        <v>844326</v>
      </c>
      <c r="C7" s="19">
        <v>0</v>
      </c>
      <c r="D7" s="20">
        <f t="shared" si="0"/>
        <v>844326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</v>
      </c>
    </row>
    <row r="8" spans="1:16" ht="12.75">
      <c r="A8" s="21">
        <v>2008</v>
      </c>
      <c r="B8" s="20">
        <v>1034372</v>
      </c>
      <c r="C8" s="19">
        <v>0</v>
      </c>
      <c r="D8" s="20">
        <f t="shared" si="0"/>
        <v>1034372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-1034372</v>
      </c>
    </row>
    <row r="9" spans="1:16" ht="12.75">
      <c r="A9" s="21">
        <v>2009</v>
      </c>
      <c r="B9" s="20">
        <v>1315684</v>
      </c>
      <c r="C9" s="19">
        <v>0</v>
      </c>
      <c r="D9" s="20">
        <f t="shared" si="0"/>
        <v>1315684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4225.5466162</v>
      </c>
      <c r="F10" s="20">
        <v>737.9332968000001</v>
      </c>
      <c r="G10" s="20">
        <v>1702.82</v>
      </c>
      <c r="H10" s="20">
        <v>1013.6</v>
      </c>
      <c r="I10" s="20">
        <v>0</v>
      </c>
      <c r="J10" s="20">
        <v>0</v>
      </c>
      <c r="K10" s="20">
        <v>11437.9475</v>
      </c>
      <c r="L10" s="20">
        <v>152.5246632</v>
      </c>
      <c r="M10" s="20">
        <v>27.09</v>
      </c>
      <c r="N10" s="20">
        <v>6313.587</v>
      </c>
      <c r="O10" s="20">
        <f aca="true" t="shared" si="2" ref="O10:O29">SUM(E10:N10)</f>
        <v>25611.0490762</v>
      </c>
      <c r="P10" s="22">
        <f t="shared" si="1"/>
        <v>-26911.9509238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7536.204678001882</v>
      </c>
      <c r="F11" s="20">
        <v>2303.164423422613</v>
      </c>
      <c r="G11" s="20">
        <v>3036.3981794568726</v>
      </c>
      <c r="H11" s="20">
        <v>1773.8</v>
      </c>
      <c r="I11" s="20">
        <v>0</v>
      </c>
      <c r="J11" s="20">
        <v>0</v>
      </c>
      <c r="K11" s="20">
        <v>20016.408125</v>
      </c>
      <c r="L11" s="20">
        <v>272.02565365429547</v>
      </c>
      <c r="M11" s="20">
        <v>47.4075</v>
      </c>
      <c r="N11" s="20">
        <v>11048.77725</v>
      </c>
      <c r="O11" s="20">
        <f t="shared" si="2"/>
        <v>46034.185809535666</v>
      </c>
      <c r="P11" s="22">
        <f t="shared" si="1"/>
        <v>-6488.814190464334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13440.720493993704</v>
      </c>
      <c r="F12" s="20">
        <v>7188.410284989356</v>
      </c>
      <c r="G12" s="20">
        <v>5414.379619812436</v>
      </c>
      <c r="H12" s="20">
        <v>3104.15</v>
      </c>
      <c r="I12" s="20">
        <v>0</v>
      </c>
      <c r="J12" s="20">
        <v>0</v>
      </c>
      <c r="K12" s="20">
        <v>35028.71421875</v>
      </c>
      <c r="L12" s="20">
        <v>485.1541238835776</v>
      </c>
      <c r="M12" s="20">
        <v>82.963125</v>
      </c>
      <c r="N12" s="20">
        <v>19335.360187500002</v>
      </c>
      <c r="O12" s="20">
        <f t="shared" si="2"/>
        <v>84079.85205392909</v>
      </c>
      <c r="P12" s="22">
        <f t="shared" si="1"/>
        <v>31556.85205392909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23971.34991864996</v>
      </c>
      <c r="F13" s="20">
        <v>22435.76318399632</v>
      </c>
      <c r="G13" s="20">
        <v>9654.697748726747</v>
      </c>
      <c r="H13" s="20">
        <v>5432.2625</v>
      </c>
      <c r="I13" s="20">
        <v>0</v>
      </c>
      <c r="J13" s="20">
        <v>0</v>
      </c>
      <c r="K13" s="20">
        <v>61300.2498828125</v>
      </c>
      <c r="L13" s="20">
        <v>865.2660602001461</v>
      </c>
      <c r="M13" s="20">
        <v>145.18546875</v>
      </c>
      <c r="N13" s="20">
        <v>33836.880328125</v>
      </c>
      <c r="O13" s="20">
        <f t="shared" si="2"/>
        <v>157641.65509126068</v>
      </c>
      <c r="P13" s="22">
        <f t="shared" si="1"/>
        <v>105118.65509126068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42752.59789922864</v>
      </c>
      <c r="F14" s="20">
        <v>70024.32233228325</v>
      </c>
      <c r="G14" s="20">
        <v>17215.85761703542</v>
      </c>
      <c r="H14" s="20">
        <v>9506.459375</v>
      </c>
      <c r="I14" s="20">
        <v>0</v>
      </c>
      <c r="J14" s="20">
        <v>0</v>
      </c>
      <c r="K14" s="20">
        <v>107275.43729492188</v>
      </c>
      <c r="L14" s="20">
        <v>1543.191020661133</v>
      </c>
      <c r="M14" s="20">
        <v>254.0745703125</v>
      </c>
      <c r="N14" s="20">
        <v>59214.54057421875</v>
      </c>
      <c r="O14" s="20">
        <f t="shared" si="2"/>
        <v>307786.4806836616</v>
      </c>
      <c r="P14" s="22">
        <f t="shared" si="1"/>
        <v>255263.4806836616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43570.70198803233</v>
      </c>
      <c r="F15" s="20">
        <v>71364.29200034362</v>
      </c>
      <c r="G15" s="20">
        <v>17542.06005371094</v>
      </c>
      <c r="H15" s="20">
        <v>9506.459375</v>
      </c>
      <c r="I15" s="20">
        <v>0</v>
      </c>
      <c r="J15" s="20">
        <v>0</v>
      </c>
      <c r="K15" s="20">
        <v>107275.43729492188</v>
      </c>
      <c r="L15" s="20">
        <v>1572.7211766246094</v>
      </c>
      <c r="M15" s="20">
        <v>254.0745703125</v>
      </c>
      <c r="N15" s="20">
        <v>59214.54057421875</v>
      </c>
      <c r="O15" s="20">
        <f t="shared" si="2"/>
        <v>310300.28703316464</v>
      </c>
      <c r="P15" s="22">
        <f t="shared" si="1"/>
        <v>257777.28703316464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44375.18799701164</v>
      </c>
      <c r="F16" s="20">
        <v>72681.95666571349</v>
      </c>
      <c r="G16" s="20">
        <v>17867.07979584179</v>
      </c>
      <c r="H16" s="20">
        <v>9506.459375</v>
      </c>
      <c r="I16" s="20">
        <v>0</v>
      </c>
      <c r="J16" s="20">
        <v>0</v>
      </c>
      <c r="K16" s="20">
        <v>107275.43729492188</v>
      </c>
      <c r="L16" s="20">
        <v>1601.7597765298278</v>
      </c>
      <c r="M16" s="20">
        <v>254.0745703125</v>
      </c>
      <c r="N16" s="20">
        <v>59214.54057421875</v>
      </c>
      <c r="O16" s="20">
        <f t="shared" si="2"/>
        <v>312776.4960495499</v>
      </c>
      <c r="P16" s="22">
        <f t="shared" si="1"/>
        <v>260253.4960495499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45194.52797658049</v>
      </c>
      <c r="F17" s="20">
        <v>74023.95059469741</v>
      </c>
      <c r="G17" s="20">
        <v>18198.121512156486</v>
      </c>
      <c r="H17" s="20">
        <v>9506.459375</v>
      </c>
      <c r="I17" s="20">
        <v>0</v>
      </c>
      <c r="J17" s="20">
        <v>0</v>
      </c>
      <c r="K17" s="20">
        <v>107275.43729492188</v>
      </c>
      <c r="L17" s="20">
        <v>1631.3345430111447</v>
      </c>
      <c r="M17" s="20">
        <v>254.0745703125</v>
      </c>
      <c r="N17" s="20">
        <v>59214.54057421875</v>
      </c>
      <c r="O17" s="20">
        <f t="shared" si="2"/>
        <v>315298.44644089864</v>
      </c>
      <c r="P17" s="22">
        <f t="shared" si="1"/>
        <v>262775.44644089864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46028.99618944037</v>
      </c>
      <c r="F18" s="20">
        <v>75390.72300116207</v>
      </c>
      <c r="G18" s="20">
        <v>18535.296777948362</v>
      </c>
      <c r="H18" s="20">
        <v>9506.459375</v>
      </c>
      <c r="I18" s="20">
        <v>0</v>
      </c>
      <c r="J18" s="20">
        <v>0</v>
      </c>
      <c r="K18" s="20">
        <v>107275.43729492188</v>
      </c>
      <c r="L18" s="20">
        <v>1661.4553758117113</v>
      </c>
      <c r="M18" s="20">
        <v>254.0745703125</v>
      </c>
      <c r="N18" s="20">
        <v>59214.54057421875</v>
      </c>
      <c r="O18" s="20">
        <f t="shared" si="2"/>
        <v>317866.98315881565</v>
      </c>
      <c r="P18" s="22">
        <f t="shared" si="1"/>
        <v>265343.98315881565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46878.87196226212</v>
      </c>
      <c r="F19" s="20">
        <v>76782.73139323088</v>
      </c>
      <c r="G19" s="20">
        <v>18878.71923578068</v>
      </c>
      <c r="H19" s="20">
        <v>9506.459375</v>
      </c>
      <c r="I19" s="20">
        <v>0</v>
      </c>
      <c r="J19" s="20">
        <v>0</v>
      </c>
      <c r="K19" s="20">
        <v>107275.43729492188</v>
      </c>
      <c r="L19" s="20">
        <v>1692.1323574629162</v>
      </c>
      <c r="M19" s="20">
        <v>254.0745703125</v>
      </c>
      <c r="N19" s="20">
        <v>59214.54057421875</v>
      </c>
      <c r="O19" s="20">
        <f t="shared" si="2"/>
        <v>320482.96676318976</v>
      </c>
      <c r="P19" s="22">
        <f t="shared" si="1"/>
        <v>267959.96676318976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47744.439779186716</v>
      </c>
      <c r="F20" s="20">
        <v>78200.44172642847</v>
      </c>
      <c r="G20" s="20">
        <v>19228.504633789064</v>
      </c>
      <c r="H20" s="20">
        <v>9506.459375</v>
      </c>
      <c r="I20" s="20">
        <v>0</v>
      </c>
      <c r="J20" s="20">
        <v>0</v>
      </c>
      <c r="K20" s="20">
        <v>107275.43729492188</v>
      </c>
      <c r="L20" s="20">
        <v>1723.375756659375</v>
      </c>
      <c r="M20" s="20">
        <v>254.0745703125</v>
      </c>
      <c r="N20" s="20">
        <v>59214.54057421875</v>
      </c>
      <c r="O20" s="20">
        <f t="shared" si="2"/>
        <v>323147.27371051675</v>
      </c>
      <c r="P20" s="22">
        <f t="shared" si="1"/>
        <v>270624.27371051675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48573.27399069717</v>
      </c>
      <c r="F21" s="20">
        <v>79557.98622287365</v>
      </c>
      <c r="G21" s="20">
        <v>19566.36464835326</v>
      </c>
      <c r="H21" s="20">
        <v>9506.459375</v>
      </c>
      <c r="I21" s="20">
        <v>0</v>
      </c>
      <c r="J21" s="20">
        <v>0</v>
      </c>
      <c r="K21" s="20">
        <v>107275.43729492188</v>
      </c>
      <c r="L21" s="20">
        <v>1753.2932254371674</v>
      </c>
      <c r="M21" s="20">
        <v>254.0745703125</v>
      </c>
      <c r="N21" s="20">
        <v>59214.54057421875</v>
      </c>
      <c r="O21" s="20">
        <f t="shared" si="2"/>
        <v>325701.4299018144</v>
      </c>
      <c r="P21" s="22">
        <f t="shared" si="1"/>
        <v>273178.4299018144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49416.51407691517</v>
      </c>
      <c r="F22" s="20">
        <v>80939.12604834135</v>
      </c>
      <c r="G22" s="20">
        <v>19910.161130241115</v>
      </c>
      <c r="H22" s="20">
        <v>9506.459375</v>
      </c>
      <c r="I22" s="20">
        <v>0</v>
      </c>
      <c r="J22" s="20">
        <v>0</v>
      </c>
      <c r="K22" s="20">
        <v>107275.43729492188</v>
      </c>
      <c r="L22" s="20">
        <v>1783.7306863928814</v>
      </c>
      <c r="M22" s="20">
        <v>254.0745703125</v>
      </c>
      <c r="N22" s="20">
        <v>59214.54057421875</v>
      </c>
      <c r="O22" s="20">
        <f t="shared" si="2"/>
        <v>328300.04375634366</v>
      </c>
      <c r="P22" s="22">
        <f t="shared" si="1"/>
        <v>275777.04375634366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50274.41071405474</v>
      </c>
      <c r="F23" s="20">
        <v>82344.27178447747</v>
      </c>
      <c r="G23" s="20">
        <v>20259.998387872583</v>
      </c>
      <c r="H23" s="20">
        <v>9506.459375</v>
      </c>
      <c r="I23" s="20">
        <v>0</v>
      </c>
      <c r="J23" s="20">
        <v>0</v>
      </c>
      <c r="K23" s="20">
        <v>107275.43729492188</v>
      </c>
      <c r="L23" s="20">
        <v>1814.697187895544</v>
      </c>
      <c r="M23" s="20">
        <v>254.0745703125</v>
      </c>
      <c r="N23" s="20">
        <v>59214.54057421875</v>
      </c>
      <c r="O23" s="20">
        <f t="shared" si="2"/>
        <v>330943.8898887535</v>
      </c>
      <c r="P23" s="22">
        <f t="shared" si="1"/>
        <v>278420.8898887535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51147.21894512409</v>
      </c>
      <c r="F24" s="20">
        <v>83773.84116528397</v>
      </c>
      <c r="G24" s="20">
        <v>20615.98256244895</v>
      </c>
      <c r="H24" s="20">
        <v>9506.459375</v>
      </c>
      <c r="I24" s="20">
        <v>0</v>
      </c>
      <c r="J24" s="20">
        <v>0</v>
      </c>
      <c r="K24" s="20">
        <v>107275.43729492188</v>
      </c>
      <c r="L24" s="20">
        <v>1846.2019359372914</v>
      </c>
      <c r="M24" s="20">
        <v>254.0745703125</v>
      </c>
      <c r="N24" s="20">
        <v>59214.54057421875</v>
      </c>
      <c r="O24" s="20">
        <f t="shared" si="2"/>
        <v>333633.7564232474</v>
      </c>
      <c r="P24" s="22">
        <f t="shared" si="1"/>
        <v>281110.7564232474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52035.198256074415</v>
      </c>
      <c r="F25" s="20">
        <v>85228.25920184278</v>
      </c>
      <c r="G25" s="20">
        <v>20978.22166015625</v>
      </c>
      <c r="H25" s="20">
        <v>9506.459375</v>
      </c>
      <c r="I25" s="20">
        <v>0</v>
      </c>
      <c r="J25" s="20">
        <v>0</v>
      </c>
      <c r="K25" s="20">
        <v>107275.43729492188</v>
      </c>
      <c r="L25" s="20">
        <v>1878.2542968820312</v>
      </c>
      <c r="M25" s="20">
        <v>254.0745703125</v>
      </c>
      <c r="N25" s="20">
        <v>59214.54057421875</v>
      </c>
      <c r="O25" s="20">
        <f t="shared" si="2"/>
        <v>336370.44522940856</v>
      </c>
      <c r="P25" s="22">
        <f t="shared" si="1"/>
        <v>283847.44522940856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52938.61265327794</v>
      </c>
      <c r="F26" s="20">
        <v>86707.95830921674</v>
      </c>
      <c r="G26" s="20">
        <v>21346.825584934497</v>
      </c>
      <c r="H26" s="20">
        <v>9506.459375</v>
      </c>
      <c r="I26" s="20">
        <v>0</v>
      </c>
      <c r="J26" s="20">
        <v>0</v>
      </c>
      <c r="K26" s="20">
        <v>107275.43729492188</v>
      </c>
      <c r="L26" s="20">
        <v>1910.863800262073</v>
      </c>
      <c r="M26" s="20">
        <v>254.0745703125</v>
      </c>
      <c r="N26" s="20">
        <v>59214.54057421875</v>
      </c>
      <c r="O26" s="20">
        <f t="shared" si="2"/>
        <v>339154.7721621444</v>
      </c>
      <c r="P26" s="22">
        <f t="shared" si="1"/>
        <v>286631.7721621444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53857.730742358435</v>
      </c>
      <c r="F27" s="20">
        <v>88213.37843556573</v>
      </c>
      <c r="G27" s="20">
        <v>21721.906171822764</v>
      </c>
      <c r="H27" s="20">
        <v>9506.459375</v>
      </c>
      <c r="I27" s="20">
        <v>0</v>
      </c>
      <c r="J27" s="20">
        <v>0</v>
      </c>
      <c r="K27" s="20">
        <v>107275.43729492188</v>
      </c>
      <c r="L27" s="20">
        <v>1944.0401416235845</v>
      </c>
      <c r="M27" s="20">
        <v>254.0745703125</v>
      </c>
      <c r="N27" s="20">
        <v>59214.54057421875</v>
      </c>
      <c r="O27" s="20">
        <f t="shared" si="2"/>
        <v>341987.5673058237</v>
      </c>
      <c r="P27" s="22">
        <f t="shared" si="1"/>
        <v>289464.5673058237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54792.825808397654</v>
      </c>
      <c r="F28" s="20">
        <v>89744.96719351671</v>
      </c>
      <c r="G28" s="20">
        <v>22103.577220890085</v>
      </c>
      <c r="H28" s="20">
        <v>9506.459375</v>
      </c>
      <c r="I28" s="20">
        <v>0</v>
      </c>
      <c r="J28" s="20">
        <v>0</v>
      </c>
      <c r="K28" s="20">
        <v>107275.43729492188</v>
      </c>
      <c r="L28" s="20">
        <v>1977.793185421709</v>
      </c>
      <c r="M28" s="20">
        <v>254.0745703125</v>
      </c>
      <c r="N28" s="20">
        <v>59214.54057421875</v>
      </c>
      <c r="O28" s="20">
        <f t="shared" si="2"/>
        <v>344869.67522267933</v>
      </c>
      <c r="P28" s="22">
        <f t="shared" si="1"/>
        <v>292346.67522267933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55744.17589754201</v>
      </c>
      <c r="F29" s="25">
        <v>91303.17999382687</v>
      </c>
      <c r="G29" s="25">
        <v>22491.954531762603</v>
      </c>
      <c r="H29" s="25">
        <v>9506.459375</v>
      </c>
      <c r="I29" s="25">
        <v>0</v>
      </c>
      <c r="J29" s="25">
        <v>0</v>
      </c>
      <c r="K29" s="25">
        <v>107275.43729492188</v>
      </c>
      <c r="L29" s="25">
        <v>2012.1329679662267</v>
      </c>
      <c r="M29" s="25">
        <v>254.0745703125</v>
      </c>
      <c r="N29" s="25">
        <v>59214.54057421875</v>
      </c>
      <c r="O29" s="25">
        <f t="shared" si="2"/>
        <v>347801.9552055508</v>
      </c>
      <c r="P29" s="26">
        <f t="shared" si="1"/>
        <v>295278.9552055508</v>
      </c>
    </row>
    <row r="30" spans="1:16" ht="12.75">
      <c r="A30" s="60" t="s">
        <v>58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74">
        <f>IRR(P5:P29,0.1)</f>
        <v>0.02033078512735899</v>
      </c>
      <c r="N30" s="74"/>
      <c r="O30" s="74"/>
      <c r="P30" s="75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13575.528625003148</v>
      </c>
      <c r="L32" s="53"/>
      <c r="M32" s="52">
        <f>NPV(M31,P5:P29)</f>
        <v>-354046.67562057346</v>
      </c>
      <c r="N32" s="53"/>
      <c r="O32" s="52">
        <f>NPV(0.06,P5:P29)</f>
        <v>-1052453.2542326655</v>
      </c>
      <c r="P32" s="77"/>
    </row>
  </sheetData>
  <mergeCells count="15">
    <mergeCell ref="A30:H32"/>
    <mergeCell ref="P2:P3"/>
    <mergeCell ref="O31:P31"/>
    <mergeCell ref="M31:N31"/>
    <mergeCell ref="K31:L31"/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4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81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v>106270</v>
      </c>
      <c r="C5" s="19">
        <v>0</v>
      </c>
      <c r="D5" s="20">
        <f aca="true" t="shared" si="0" ref="D5:D29">C5+B5</f>
        <v>106270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</v>
      </c>
    </row>
    <row r="6" spans="1:16" ht="12.75">
      <c r="A6" s="21">
        <v>2006</v>
      </c>
      <c r="B6" s="20">
        <v>138960</v>
      </c>
      <c r="C6" s="19">
        <v>0</v>
      </c>
      <c r="D6" s="20">
        <f t="shared" si="0"/>
        <v>138960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-138960</v>
      </c>
    </row>
    <row r="7" spans="1:16" ht="12.75">
      <c r="A7" s="21">
        <v>2007</v>
      </c>
      <c r="B7" s="20">
        <v>844326</v>
      </c>
      <c r="C7" s="19">
        <v>0</v>
      </c>
      <c r="D7" s="20">
        <f t="shared" si="0"/>
        <v>844326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</v>
      </c>
    </row>
    <row r="8" spans="1:16" ht="12.75">
      <c r="A8" s="21">
        <v>2008</v>
      </c>
      <c r="B8" s="20">
        <v>1034372</v>
      </c>
      <c r="C8" s="19">
        <v>0</v>
      </c>
      <c r="D8" s="20">
        <f t="shared" si="0"/>
        <v>1034372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-1034372</v>
      </c>
    </row>
    <row r="9" spans="1:16" ht="12.75">
      <c r="A9" s="21">
        <v>2009</v>
      </c>
      <c r="B9" s="20">
        <v>1315684</v>
      </c>
      <c r="C9" s="19">
        <v>0</v>
      </c>
      <c r="D9" s="20">
        <f t="shared" si="0"/>
        <v>1315684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4310.057548524</v>
      </c>
      <c r="F10" s="20">
        <v>767.7458019907201</v>
      </c>
      <c r="G10" s="20">
        <v>1736.8764</v>
      </c>
      <c r="H10" s="20">
        <v>1033.872</v>
      </c>
      <c r="I10" s="20">
        <v>0</v>
      </c>
      <c r="J10" s="20">
        <v>0</v>
      </c>
      <c r="K10" s="20">
        <v>11666.70645</v>
      </c>
      <c r="L10" s="20">
        <v>155.575156464</v>
      </c>
      <c r="M10" s="20">
        <v>27.6318</v>
      </c>
      <c r="N10" s="20">
        <v>6439.858740000001</v>
      </c>
      <c r="O10" s="20">
        <f aca="true" t="shared" si="2" ref="O10:O29">SUM(E10:N10)</f>
        <v>26138.32389697872</v>
      </c>
      <c r="P10" s="22">
        <f t="shared" si="1"/>
        <v>-26384.67610302128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7840.667346993158</v>
      </c>
      <c r="F11" s="20">
        <v>2493.0192416804944</v>
      </c>
      <c r="G11" s="20">
        <v>3159.068665906931</v>
      </c>
      <c r="H11" s="20">
        <v>1845.4615200000003</v>
      </c>
      <c r="I11" s="20">
        <v>0</v>
      </c>
      <c r="J11" s="20">
        <v>0</v>
      </c>
      <c r="K11" s="20">
        <v>20825.071013250003</v>
      </c>
      <c r="L11" s="20">
        <v>283.01549006192903</v>
      </c>
      <c r="M11" s="20">
        <v>49.32276300000001</v>
      </c>
      <c r="N11" s="20">
        <v>11495.147850900003</v>
      </c>
      <c r="O11" s="20">
        <f t="shared" si="2"/>
        <v>47990.773891792516</v>
      </c>
      <c r="P11" s="22">
        <f t="shared" si="1"/>
        <v>-4532.226108207484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14263.400113990072</v>
      </c>
      <c r="F12" s="20">
        <v>8095.317517205837</v>
      </c>
      <c r="G12" s="20">
        <v>5745.782967581918</v>
      </c>
      <c r="H12" s="20">
        <v>3294.148813200001</v>
      </c>
      <c r="I12" s="20">
        <v>0</v>
      </c>
      <c r="J12" s="20">
        <v>0</v>
      </c>
      <c r="K12" s="20">
        <v>37172.75175865127</v>
      </c>
      <c r="L12" s="20">
        <v>514.8494374982438</v>
      </c>
      <c r="M12" s="20">
        <v>88.04113195500004</v>
      </c>
      <c r="N12" s="20">
        <v>20518.838913856507</v>
      </c>
      <c r="O12" s="20">
        <f t="shared" si="2"/>
        <v>89693.13065393886</v>
      </c>
      <c r="P12" s="22">
        <f t="shared" si="1"/>
        <v>37170.13065393886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25947.36007056011</v>
      </c>
      <c r="F13" s="20">
        <v>26287.07240447457</v>
      </c>
      <c r="G13" s="20">
        <v>10450.555338301432</v>
      </c>
      <c r="H13" s="20">
        <v>5880.055631562002</v>
      </c>
      <c r="I13" s="20">
        <v>0</v>
      </c>
      <c r="J13" s="20">
        <v>0</v>
      </c>
      <c r="K13" s="20">
        <v>66353.3618891925</v>
      </c>
      <c r="L13" s="20">
        <v>936.5918105171343</v>
      </c>
      <c r="M13" s="20">
        <v>157.15342053967507</v>
      </c>
      <c r="N13" s="20">
        <v>36626.12746123387</v>
      </c>
      <c r="O13" s="20">
        <f t="shared" si="2"/>
        <v>172638.2780263813</v>
      </c>
      <c r="P13" s="22">
        <f t="shared" si="1"/>
        <v>120115.2780263813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47202.322627467</v>
      </c>
      <c r="F14" s="20">
        <v>85359.2581869676</v>
      </c>
      <c r="G14" s="20">
        <v>19007.69790559331</v>
      </c>
      <c r="H14" s="20">
        <v>10495.899302338175</v>
      </c>
      <c r="I14" s="20">
        <v>0</v>
      </c>
      <c r="J14" s="20">
        <v>0</v>
      </c>
      <c r="K14" s="20">
        <v>118440.75097220865</v>
      </c>
      <c r="L14" s="20">
        <v>1703.807581582572</v>
      </c>
      <c r="M14" s="20">
        <v>280.51885566332</v>
      </c>
      <c r="N14" s="20">
        <v>65377.63751830246</v>
      </c>
      <c r="O14" s="20">
        <f t="shared" si="2"/>
        <v>347867.8929501231</v>
      </c>
      <c r="P14" s="22">
        <f t="shared" si="1"/>
        <v>295344.8929501231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48105.57564693459</v>
      </c>
      <c r="F15" s="20">
        <v>86992.67373529544</v>
      </c>
      <c r="G15" s="20">
        <v>19367.851753883813</v>
      </c>
      <c r="H15" s="20">
        <v>10495.899302338175</v>
      </c>
      <c r="I15" s="20">
        <v>0</v>
      </c>
      <c r="J15" s="20">
        <v>0</v>
      </c>
      <c r="K15" s="20">
        <v>118440.75097220865</v>
      </c>
      <c r="L15" s="20">
        <v>1736.4112598973481</v>
      </c>
      <c r="M15" s="20">
        <v>280.51885566332</v>
      </c>
      <c r="N15" s="20">
        <v>65377.63751830246</v>
      </c>
      <c r="O15" s="20">
        <f t="shared" si="2"/>
        <v>350797.3190445238</v>
      </c>
      <c r="P15" s="22">
        <f t="shared" si="1"/>
        <v>298274.3190445238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48993.79320589163</v>
      </c>
      <c r="F16" s="20">
        <v>88598.89960980555</v>
      </c>
      <c r="G16" s="20">
        <v>19726.699811831502</v>
      </c>
      <c r="H16" s="20">
        <v>10495.899302338175</v>
      </c>
      <c r="I16" s="20">
        <v>0</v>
      </c>
      <c r="J16" s="20">
        <v>0</v>
      </c>
      <c r="K16" s="20">
        <v>118440.75097220865</v>
      </c>
      <c r="L16" s="20">
        <v>1768.4722206045053</v>
      </c>
      <c r="M16" s="20">
        <v>280.51885566332</v>
      </c>
      <c r="N16" s="20">
        <v>65377.63751830246</v>
      </c>
      <c r="O16" s="20">
        <f t="shared" si="2"/>
        <v>353682.6714966457</v>
      </c>
      <c r="P16" s="22">
        <f t="shared" si="1"/>
        <v>301159.6714966457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49898.410748627866</v>
      </c>
      <c r="F17" s="20">
        <v>90234.78272090378</v>
      </c>
      <c r="G17" s="20">
        <v>20092.196615872937</v>
      </c>
      <c r="H17" s="20">
        <v>10495.899302338175</v>
      </c>
      <c r="I17" s="20">
        <v>0</v>
      </c>
      <c r="J17" s="20">
        <v>0</v>
      </c>
      <c r="K17" s="20">
        <v>118440.75097220865</v>
      </c>
      <c r="L17" s="20">
        <v>1801.1251525356502</v>
      </c>
      <c r="M17" s="20">
        <v>280.51885566332</v>
      </c>
      <c r="N17" s="20">
        <v>65377.63751830246</v>
      </c>
      <c r="O17" s="20">
        <f t="shared" si="2"/>
        <v>356621.3218864529</v>
      </c>
      <c r="P17" s="22">
        <f t="shared" si="1"/>
        <v>304098.3218864529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50819.73108332707</v>
      </c>
      <c r="F18" s="20">
        <v>91900.87065778702</v>
      </c>
      <c r="G18" s="20">
        <v>20464.465354147607</v>
      </c>
      <c r="H18" s="20">
        <v>10495.899302338175</v>
      </c>
      <c r="I18" s="20">
        <v>0</v>
      </c>
      <c r="J18" s="20">
        <v>0</v>
      </c>
      <c r="K18" s="20">
        <v>118440.75097220865</v>
      </c>
      <c r="L18" s="20">
        <v>1834.3809858071525</v>
      </c>
      <c r="M18" s="20">
        <v>280.51885566332</v>
      </c>
      <c r="N18" s="20">
        <v>65377.63751830246</v>
      </c>
      <c r="O18" s="20">
        <f t="shared" si="2"/>
        <v>359614.2547295814</v>
      </c>
      <c r="P18" s="22">
        <f t="shared" si="1"/>
        <v>307091.2547295814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51758.06260920434</v>
      </c>
      <c r="F19" s="20">
        <v>93597.72112030476</v>
      </c>
      <c r="G19" s="20">
        <v>20843.631497228034</v>
      </c>
      <c r="H19" s="20">
        <v>10495.899302338175</v>
      </c>
      <c r="I19" s="20">
        <v>0</v>
      </c>
      <c r="J19" s="20">
        <v>0</v>
      </c>
      <c r="K19" s="20">
        <v>118440.75097220865</v>
      </c>
      <c r="L19" s="20">
        <v>1868.2508523483664</v>
      </c>
      <c r="M19" s="20">
        <v>280.51885566332</v>
      </c>
      <c r="N19" s="20">
        <v>65377.63751830246</v>
      </c>
      <c r="O19" s="20">
        <f t="shared" si="2"/>
        <v>362662.4727275981</v>
      </c>
      <c r="P19" s="22">
        <f t="shared" si="1"/>
        <v>310139.4727275981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52713.719419738525</v>
      </c>
      <c r="F20" s="20">
        <v>95325.90210564154</v>
      </c>
      <c r="G20" s="20">
        <v>21229.822840408757</v>
      </c>
      <c r="H20" s="20">
        <v>10495.899302338175</v>
      </c>
      <c r="I20" s="20">
        <v>0</v>
      </c>
      <c r="J20" s="20">
        <v>0</v>
      </c>
      <c r="K20" s="20">
        <v>118440.75097220865</v>
      </c>
      <c r="L20" s="20">
        <v>1902.746089627891</v>
      </c>
      <c r="M20" s="20">
        <v>280.51885566332</v>
      </c>
      <c r="N20" s="20">
        <v>65377.63751830246</v>
      </c>
      <c r="O20" s="20">
        <f t="shared" si="2"/>
        <v>365766.99710392935</v>
      </c>
      <c r="P20" s="22">
        <f t="shared" si="1"/>
        <v>313243.99710392935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53628.81936170261</v>
      </c>
      <c r="F21" s="20">
        <v>96980.74127170279</v>
      </c>
      <c r="G21" s="20">
        <v>21602.847596657957</v>
      </c>
      <c r="H21" s="20">
        <v>10495.899302338175</v>
      </c>
      <c r="I21" s="20">
        <v>0</v>
      </c>
      <c r="J21" s="20">
        <v>0</v>
      </c>
      <c r="K21" s="20">
        <v>118440.75097220865</v>
      </c>
      <c r="L21" s="20">
        <v>1935.777392585787</v>
      </c>
      <c r="M21" s="20">
        <v>280.51885566332</v>
      </c>
      <c r="N21" s="20">
        <v>65377.63751830246</v>
      </c>
      <c r="O21" s="20">
        <f t="shared" si="2"/>
        <v>368742.99227116175</v>
      </c>
      <c r="P21" s="22">
        <f t="shared" si="1"/>
        <v>316219.99227116175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54559.82455338462</v>
      </c>
      <c r="F22" s="20">
        <v>98664.34301218046</v>
      </c>
      <c r="G22" s="20">
        <v>21982.426692518038</v>
      </c>
      <c r="H22" s="20">
        <v>10495.899302338175</v>
      </c>
      <c r="I22" s="20">
        <v>0</v>
      </c>
      <c r="J22" s="20">
        <v>0</v>
      </c>
      <c r="K22" s="20">
        <v>118440.75097220865</v>
      </c>
      <c r="L22" s="20">
        <v>1969.3828089251404</v>
      </c>
      <c r="M22" s="20">
        <v>280.51885566332</v>
      </c>
      <c r="N22" s="20">
        <v>65377.63751830246</v>
      </c>
      <c r="O22" s="20">
        <f t="shared" si="2"/>
        <v>371770.78371552087</v>
      </c>
      <c r="P22" s="22">
        <f t="shared" si="1"/>
        <v>319247.78371552087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55507.01176158027</v>
      </c>
      <c r="F23" s="20">
        <v>100377.20782380983</v>
      </c>
      <c r="G23" s="20">
        <v>22368.675292913074</v>
      </c>
      <c r="H23" s="20">
        <v>10495.899302338175</v>
      </c>
      <c r="I23" s="20">
        <v>0</v>
      </c>
      <c r="J23" s="20">
        <v>0</v>
      </c>
      <c r="K23" s="20">
        <v>118440.75097220865</v>
      </c>
      <c r="L23" s="20">
        <v>2003.5723287764938</v>
      </c>
      <c r="M23" s="20">
        <v>280.51885566332</v>
      </c>
      <c r="N23" s="20">
        <v>65377.63751830246</v>
      </c>
      <c r="O23" s="20">
        <f t="shared" si="2"/>
        <v>374851.27385559224</v>
      </c>
      <c r="P23" s="22">
        <f t="shared" si="1"/>
        <v>322328.27385559224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56470.662574378875</v>
      </c>
      <c r="F24" s="20">
        <v>102119.84492200833</v>
      </c>
      <c r="G24" s="20">
        <v>22761.71058630584</v>
      </c>
      <c r="H24" s="20">
        <v>10495.899302338175</v>
      </c>
      <c r="I24" s="20">
        <v>0</v>
      </c>
      <c r="J24" s="20">
        <v>0</v>
      </c>
      <c r="K24" s="20">
        <v>118440.75097220865</v>
      </c>
      <c r="L24" s="20">
        <v>2038.3561162990402</v>
      </c>
      <c r="M24" s="20">
        <v>280.51885566332</v>
      </c>
      <c r="N24" s="20">
        <v>65377.63751830246</v>
      </c>
      <c r="O24" s="20">
        <f t="shared" si="2"/>
        <v>377985.3808475047</v>
      </c>
      <c r="P24" s="22">
        <f t="shared" si="1"/>
        <v>325462.3808475047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57451.06348523789</v>
      </c>
      <c r="F25" s="20">
        <v>103892.77239291325</v>
      </c>
      <c r="G25" s="20">
        <v>23161.65182025296</v>
      </c>
      <c r="H25" s="20">
        <v>10495.899302338175</v>
      </c>
      <c r="I25" s="20">
        <v>0</v>
      </c>
      <c r="J25" s="20">
        <v>0</v>
      </c>
      <c r="K25" s="20">
        <v>118440.75097220865</v>
      </c>
      <c r="L25" s="20">
        <v>2073.7445127153646</v>
      </c>
      <c r="M25" s="20">
        <v>280.51885566332</v>
      </c>
      <c r="N25" s="20">
        <v>65377.63751830246</v>
      </c>
      <c r="O25" s="20">
        <f t="shared" si="2"/>
        <v>381174.0388596321</v>
      </c>
      <c r="P25" s="22">
        <f t="shared" si="1"/>
        <v>328651.0388596321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58448.5059785248</v>
      </c>
      <c r="F26" s="20">
        <v>105696.51734807328</v>
      </c>
      <c r="G26" s="20">
        <v>23568.620337584798</v>
      </c>
      <c r="H26" s="20">
        <v>10495.899302338175</v>
      </c>
      <c r="I26" s="20">
        <v>0</v>
      </c>
      <c r="J26" s="20">
        <v>0</v>
      </c>
      <c r="K26" s="20">
        <v>118440.75097220865</v>
      </c>
      <c r="L26" s="20">
        <v>2109.7480393991545</v>
      </c>
      <c r="M26" s="20">
        <v>280.51885566332</v>
      </c>
      <c r="N26" s="20">
        <v>65377.63751830246</v>
      </c>
      <c r="O26" s="20">
        <f t="shared" si="2"/>
        <v>384418.1983520946</v>
      </c>
      <c r="P26" s="22">
        <f t="shared" si="1"/>
        <v>331895.1983520946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59463.28661655245</v>
      </c>
      <c r="F27" s="20">
        <v>107531.61608184052</v>
      </c>
      <c r="G27" s="20">
        <v>23982.73961322112</v>
      </c>
      <c r="H27" s="20">
        <v>10495.899302338175</v>
      </c>
      <c r="I27" s="20">
        <v>0</v>
      </c>
      <c r="J27" s="20">
        <v>0</v>
      </c>
      <c r="K27" s="20">
        <v>118440.75097220865</v>
      </c>
      <c r="L27" s="20">
        <v>2146.3774010168095</v>
      </c>
      <c r="M27" s="20">
        <v>280.51885566332</v>
      </c>
      <c r="N27" s="20">
        <v>65377.63751830246</v>
      </c>
      <c r="O27" s="20">
        <f t="shared" si="2"/>
        <v>387718.82636114355</v>
      </c>
      <c r="P27" s="22">
        <f t="shared" si="1"/>
        <v>335195.82636114355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60495.707128133385</v>
      </c>
      <c r="F28" s="20">
        <v>109398.61423150949</v>
      </c>
      <c r="G28" s="20">
        <v>24404.135291633556</v>
      </c>
      <c r="H28" s="20">
        <v>10495.899302338175</v>
      </c>
      <c r="I28" s="20">
        <v>0</v>
      </c>
      <c r="J28" s="20">
        <v>0</v>
      </c>
      <c r="K28" s="20">
        <v>118440.75097220865</v>
      </c>
      <c r="L28" s="20">
        <v>2183.6434887238875</v>
      </c>
      <c r="M28" s="20">
        <v>280.51885566332</v>
      </c>
      <c r="N28" s="20">
        <v>65377.63751830246</v>
      </c>
      <c r="O28" s="20">
        <f t="shared" si="2"/>
        <v>391076.90678851295</v>
      </c>
      <c r="P28" s="22">
        <f t="shared" si="1"/>
        <v>338553.90678851295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61546.07449868028</v>
      </c>
      <c r="F29" s="25">
        <v>111298.06694025196</v>
      </c>
      <c r="G29" s="25">
        <v>24832.935224966343</v>
      </c>
      <c r="H29" s="25">
        <v>10495.899302338175</v>
      </c>
      <c r="I29" s="25">
        <v>0</v>
      </c>
      <c r="J29" s="25">
        <v>0</v>
      </c>
      <c r="K29" s="25">
        <v>118440.75097220865</v>
      </c>
      <c r="L29" s="25">
        <v>2221.557383417352</v>
      </c>
      <c r="M29" s="25">
        <v>280.51885566332</v>
      </c>
      <c r="N29" s="25">
        <v>65377.63751830246</v>
      </c>
      <c r="O29" s="25">
        <f t="shared" si="2"/>
        <v>394493.4406958285</v>
      </c>
      <c r="P29" s="26">
        <f t="shared" si="1"/>
        <v>341970.4406958285</v>
      </c>
    </row>
    <row r="30" spans="1:16" ht="12.75">
      <c r="A30" s="60" t="s">
        <v>64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74">
        <f>IRR(P5:P29,0.1)</f>
        <v>0.032015362670540795</v>
      </c>
      <c r="N30" s="74"/>
      <c r="O30" s="74"/>
      <c r="P30" s="75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522949.98986624164</v>
      </c>
      <c r="L32" s="53"/>
      <c r="M32" s="52">
        <f>NPV(M31,P5:P29)</f>
        <v>78133.96715338746</v>
      </c>
      <c r="N32" s="53"/>
      <c r="O32" s="52">
        <f>NPV(0.06,P5:P29)</f>
        <v>-782564.0890511551</v>
      </c>
      <c r="P32" s="77"/>
    </row>
  </sheetData>
  <mergeCells count="15">
    <mergeCell ref="E2:O2"/>
    <mergeCell ref="K32:L32"/>
    <mergeCell ref="I31:J31"/>
    <mergeCell ref="I30:L30"/>
    <mergeCell ref="M30:P30"/>
    <mergeCell ref="A30:H32"/>
    <mergeCell ref="P2:P3"/>
    <mergeCell ref="O31:P31"/>
    <mergeCell ref="M31:N31"/>
    <mergeCell ref="K31:L31"/>
    <mergeCell ref="M32:N32"/>
    <mergeCell ref="O32:P32"/>
    <mergeCell ref="B2:D2"/>
    <mergeCell ref="A2:A3"/>
    <mergeCell ref="I32:J32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7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82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v>106270</v>
      </c>
      <c r="C5" s="19">
        <v>0</v>
      </c>
      <c r="D5" s="20">
        <f aca="true" t="shared" si="0" ref="D5:D29">C5+B5</f>
        <v>106270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</v>
      </c>
    </row>
    <row r="6" spans="1:16" ht="12.75">
      <c r="A6" s="21">
        <v>2006</v>
      </c>
      <c r="B6" s="20">
        <v>138960</v>
      </c>
      <c r="C6" s="19">
        <v>0</v>
      </c>
      <c r="D6" s="20">
        <f t="shared" si="0"/>
        <v>138960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-138960</v>
      </c>
    </row>
    <row r="7" spans="1:16" ht="12.75">
      <c r="A7" s="21">
        <v>2007</v>
      </c>
      <c r="B7" s="20">
        <v>844326</v>
      </c>
      <c r="C7" s="19">
        <v>0</v>
      </c>
      <c r="D7" s="20">
        <f t="shared" si="0"/>
        <v>844326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</v>
      </c>
    </row>
    <row r="8" spans="1:16" ht="12.75">
      <c r="A8" s="21">
        <v>2008</v>
      </c>
      <c r="B8" s="20">
        <v>1034372</v>
      </c>
      <c r="C8" s="19">
        <v>0</v>
      </c>
      <c r="D8" s="20">
        <f t="shared" si="0"/>
        <v>1034372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-1034372</v>
      </c>
    </row>
    <row r="9" spans="1:16" ht="12.75">
      <c r="A9" s="21">
        <v>2009</v>
      </c>
      <c r="B9" s="20">
        <v>1315684</v>
      </c>
      <c r="C9" s="19">
        <v>0</v>
      </c>
      <c r="D9" s="20">
        <f t="shared" si="0"/>
        <v>1315684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4346.276519520001</v>
      </c>
      <c r="F10" s="20">
        <v>780.7033082880002</v>
      </c>
      <c r="G10" s="20">
        <v>1751.472</v>
      </c>
      <c r="H10" s="20">
        <v>1042.56</v>
      </c>
      <c r="I10" s="20">
        <v>0</v>
      </c>
      <c r="J10" s="20">
        <v>0</v>
      </c>
      <c r="K10" s="20">
        <v>11764.746</v>
      </c>
      <c r="L10" s="20">
        <v>156.88251072</v>
      </c>
      <c r="M10" s="20">
        <v>27.864</v>
      </c>
      <c r="N10" s="20">
        <v>6493.9752</v>
      </c>
      <c r="O10" s="20">
        <f aca="true" t="shared" si="2" ref="O10:O29">SUM(E10:N10)</f>
        <v>26364.479538528</v>
      </c>
      <c r="P10" s="22">
        <f t="shared" si="1"/>
        <v>-26158.520461472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7972.996949135053</v>
      </c>
      <c r="F11" s="20">
        <v>2577.880427296224</v>
      </c>
      <c r="G11" s="20">
        <v>3212.385339245802</v>
      </c>
      <c r="H11" s="20">
        <v>1876.608</v>
      </c>
      <c r="I11" s="20">
        <v>0</v>
      </c>
      <c r="J11" s="20">
        <v>0</v>
      </c>
      <c r="K11" s="20">
        <v>21176.542799999996</v>
      </c>
      <c r="L11" s="20">
        <v>287.7920384783404</v>
      </c>
      <c r="M11" s="20">
        <v>50.155199999999994</v>
      </c>
      <c r="N11" s="20">
        <v>11689.15536</v>
      </c>
      <c r="O11" s="20">
        <f t="shared" si="2"/>
        <v>48843.51611415543</v>
      </c>
      <c r="P11" s="22">
        <f t="shared" si="1"/>
        <v>-3679.483885844573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14626.011787003388</v>
      </c>
      <c r="F12" s="20">
        <v>8512.156414982499</v>
      </c>
      <c r="G12" s="20">
        <v>5891.855289608607</v>
      </c>
      <c r="H12" s="20">
        <v>3377.8944000000006</v>
      </c>
      <c r="I12" s="20">
        <v>0</v>
      </c>
      <c r="J12" s="20">
        <v>0</v>
      </c>
      <c r="K12" s="20">
        <v>38117.77704</v>
      </c>
      <c r="L12" s="20">
        <v>527.9382111699638</v>
      </c>
      <c r="M12" s="20">
        <v>90.27936</v>
      </c>
      <c r="N12" s="20">
        <v>21040.479648000004</v>
      </c>
      <c r="O12" s="20">
        <f t="shared" si="2"/>
        <v>92184.39215076447</v>
      </c>
      <c r="P12" s="22">
        <f t="shared" si="1"/>
        <v>39661.39215076447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26830.595828380294</v>
      </c>
      <c r="F13" s="20">
        <v>28107.12975647452</v>
      </c>
      <c r="G13" s="20">
        <v>10806.287256260171</v>
      </c>
      <c r="H13" s="20">
        <v>6080.20992</v>
      </c>
      <c r="I13" s="20">
        <v>0</v>
      </c>
      <c r="J13" s="20">
        <v>0</v>
      </c>
      <c r="K13" s="20">
        <v>68611.998672</v>
      </c>
      <c r="L13" s="20">
        <v>968.4729489173702</v>
      </c>
      <c r="M13" s="20">
        <v>162.502848</v>
      </c>
      <c r="N13" s="20">
        <v>37872.8633664</v>
      </c>
      <c r="O13" s="20">
        <f t="shared" si="2"/>
        <v>179440.06059643233</v>
      </c>
      <c r="P13" s="22">
        <f t="shared" si="1"/>
        <v>126917.06059643233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49219.227398717005</v>
      </c>
      <c r="F14" s="20">
        <v>92809.72348674154</v>
      </c>
      <c r="G14" s="20">
        <v>19819.876511693546</v>
      </c>
      <c r="H14" s="20">
        <v>10944.377856000001</v>
      </c>
      <c r="I14" s="20">
        <v>0</v>
      </c>
      <c r="J14" s="20">
        <v>0</v>
      </c>
      <c r="K14" s="20">
        <v>123501.59760960005</v>
      </c>
      <c r="L14" s="20">
        <v>1776.6094576196244</v>
      </c>
      <c r="M14" s="20">
        <v>292.5051264</v>
      </c>
      <c r="N14" s="20">
        <v>68171.15405952002</v>
      </c>
      <c r="O14" s="20">
        <f t="shared" si="2"/>
        <v>366535.07150629174</v>
      </c>
      <c r="P14" s="22">
        <f t="shared" si="1"/>
        <v>314012.07150629174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50161.07545383544</v>
      </c>
      <c r="F15" s="20">
        <v>94585.70946177426</v>
      </c>
      <c r="G15" s="20">
        <v>20195.4193488</v>
      </c>
      <c r="H15" s="20">
        <v>10944.377856000001</v>
      </c>
      <c r="I15" s="20">
        <v>0</v>
      </c>
      <c r="J15" s="20">
        <v>0</v>
      </c>
      <c r="K15" s="20">
        <v>123501.59760960005</v>
      </c>
      <c r="L15" s="20">
        <v>1810.606256244864</v>
      </c>
      <c r="M15" s="20">
        <v>292.5051264</v>
      </c>
      <c r="N15" s="20">
        <v>68171.15405952002</v>
      </c>
      <c r="O15" s="20">
        <f t="shared" si="2"/>
        <v>369662.4451721746</v>
      </c>
      <c r="P15" s="22">
        <f t="shared" si="1"/>
        <v>317139.4451721746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51087.24559929351</v>
      </c>
      <c r="F16" s="20">
        <v>96332.13254975388</v>
      </c>
      <c r="G16" s="20">
        <v>20569.60060053861</v>
      </c>
      <c r="H16" s="20">
        <v>10944.377856000001</v>
      </c>
      <c r="I16" s="20">
        <v>0</v>
      </c>
      <c r="J16" s="20">
        <v>0</v>
      </c>
      <c r="K16" s="20">
        <v>123501.59760960005</v>
      </c>
      <c r="L16" s="20">
        <v>1844.0371475194527</v>
      </c>
      <c r="M16" s="20">
        <v>292.5051264</v>
      </c>
      <c r="N16" s="20">
        <v>68171.15405952002</v>
      </c>
      <c r="O16" s="20">
        <f t="shared" si="2"/>
        <v>372742.6505486255</v>
      </c>
      <c r="P16" s="22">
        <f t="shared" si="1"/>
        <v>320219.6505486255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52030.51648230076</v>
      </c>
      <c r="F17" s="20">
        <v>98110.80146537525</v>
      </c>
      <c r="G17" s="20">
        <v>20950.714692181882</v>
      </c>
      <c r="H17" s="20">
        <v>10944.377856000001</v>
      </c>
      <c r="I17" s="20">
        <v>0</v>
      </c>
      <c r="J17" s="20">
        <v>0</v>
      </c>
      <c r="K17" s="20">
        <v>123501.59760960005</v>
      </c>
      <c r="L17" s="20">
        <v>1878.08530431542</v>
      </c>
      <c r="M17" s="20">
        <v>292.5051264</v>
      </c>
      <c r="N17" s="20">
        <v>68171.15405952002</v>
      </c>
      <c r="O17" s="20">
        <f t="shared" si="2"/>
        <v>375879.75259569334</v>
      </c>
      <c r="P17" s="22">
        <f t="shared" si="1"/>
        <v>323356.75259569334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52991.20384971083</v>
      </c>
      <c r="F18" s="20">
        <v>99922.31159340416</v>
      </c>
      <c r="G18" s="20">
        <v>21338.89007556677</v>
      </c>
      <c r="H18" s="20">
        <v>10944.377856000001</v>
      </c>
      <c r="I18" s="20">
        <v>0</v>
      </c>
      <c r="J18" s="20">
        <v>0</v>
      </c>
      <c r="K18" s="20">
        <v>123501.59760960005</v>
      </c>
      <c r="L18" s="20">
        <v>1912.7621237813214</v>
      </c>
      <c r="M18" s="20">
        <v>292.5051264</v>
      </c>
      <c r="N18" s="20">
        <v>68171.15405952002</v>
      </c>
      <c r="O18" s="20">
        <f t="shared" si="2"/>
        <v>379074.80229398306</v>
      </c>
      <c r="P18" s="22">
        <f t="shared" si="1"/>
        <v>326551.80229398306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53969.62927830751</v>
      </c>
      <c r="F19" s="20">
        <v>101767.26931175351</v>
      </c>
      <c r="G19" s="20">
        <v>21734.25758248921</v>
      </c>
      <c r="H19" s="20">
        <v>10944.377856000001</v>
      </c>
      <c r="I19" s="20">
        <v>0</v>
      </c>
      <c r="J19" s="20">
        <v>0</v>
      </c>
      <c r="K19" s="20">
        <v>123501.59760960005</v>
      </c>
      <c r="L19" s="20">
        <v>1948.0792135019476</v>
      </c>
      <c r="M19" s="20">
        <v>292.5051264</v>
      </c>
      <c r="N19" s="20">
        <v>68171.15405952002</v>
      </c>
      <c r="O19" s="20">
        <f t="shared" si="2"/>
        <v>382328.8700375722</v>
      </c>
      <c r="P19" s="22">
        <f t="shared" si="1"/>
        <v>329805.8700375722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54966.120282448144</v>
      </c>
      <c r="F20" s="20">
        <v>103646.29219445988</v>
      </c>
      <c r="G20" s="20">
        <v>22136.9504688</v>
      </c>
      <c r="H20" s="20">
        <v>10944.377856000001</v>
      </c>
      <c r="I20" s="20">
        <v>0</v>
      </c>
      <c r="J20" s="20">
        <v>0</v>
      </c>
      <c r="K20" s="20">
        <v>123501.59760960005</v>
      </c>
      <c r="L20" s="20">
        <v>1984.0483953838084</v>
      </c>
      <c r="M20" s="20">
        <v>292.5051264</v>
      </c>
      <c r="N20" s="20">
        <v>68171.15405952002</v>
      </c>
      <c r="O20" s="20">
        <f t="shared" si="2"/>
        <v>385643.0459926119</v>
      </c>
      <c r="P20" s="22">
        <f t="shared" si="1"/>
        <v>333120.0459926119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55920.32146639315</v>
      </c>
      <c r="F21" s="20">
        <v>105445.5717181967</v>
      </c>
      <c r="G21" s="20">
        <v>22525.91417399905</v>
      </c>
      <c r="H21" s="20">
        <v>10944.377856000001</v>
      </c>
      <c r="I21" s="20">
        <v>0</v>
      </c>
      <c r="J21" s="20">
        <v>0</v>
      </c>
      <c r="K21" s="20">
        <v>123501.59760960005</v>
      </c>
      <c r="L21" s="20">
        <v>2018.4910905958984</v>
      </c>
      <c r="M21" s="20">
        <v>292.5051264</v>
      </c>
      <c r="N21" s="20">
        <v>68171.15405952002</v>
      </c>
      <c r="O21" s="20">
        <f t="shared" si="2"/>
        <v>388819.9331007048</v>
      </c>
      <c r="P21" s="22">
        <f t="shared" si="1"/>
        <v>336296.9331007048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56891.10751436865</v>
      </c>
      <c r="F22" s="20">
        <v>107276.12431804797</v>
      </c>
      <c r="G22" s="20">
        <v>22921.71227873183</v>
      </c>
      <c r="H22" s="20">
        <v>10944.377856000001</v>
      </c>
      <c r="I22" s="20">
        <v>0</v>
      </c>
      <c r="J22" s="20">
        <v>0</v>
      </c>
      <c r="K22" s="20">
        <v>123501.59760960005</v>
      </c>
      <c r="L22" s="20">
        <v>2053.532430440322</v>
      </c>
      <c r="M22" s="20">
        <v>292.5051264</v>
      </c>
      <c r="N22" s="20">
        <v>68171.15405952002</v>
      </c>
      <c r="O22" s="20">
        <f t="shared" si="2"/>
        <v>392052.11119310884</v>
      </c>
      <c r="P22" s="22">
        <f t="shared" si="1"/>
        <v>339529.11119310884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57878.767019119565</v>
      </c>
      <c r="F23" s="20">
        <v>109138.49417591725</v>
      </c>
      <c r="G23" s="20">
        <v>23324.46486879648</v>
      </c>
      <c r="H23" s="20">
        <v>10944.377856000001</v>
      </c>
      <c r="I23" s="20">
        <v>0</v>
      </c>
      <c r="J23" s="20">
        <v>0</v>
      </c>
      <c r="K23" s="20">
        <v>123501.59760960005</v>
      </c>
      <c r="L23" s="20">
        <v>2089.1828319152173</v>
      </c>
      <c r="M23" s="20">
        <v>292.5051264</v>
      </c>
      <c r="N23" s="20">
        <v>68171.15405952002</v>
      </c>
      <c r="O23" s="20">
        <f t="shared" si="2"/>
        <v>395340.5435472686</v>
      </c>
      <c r="P23" s="22">
        <f t="shared" si="1"/>
        <v>342817.5435472686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58883.593600693195</v>
      </c>
      <c r="F24" s="20">
        <v>111033.23495338846</v>
      </c>
      <c r="G24" s="20">
        <v>23734.294139993468</v>
      </c>
      <c r="H24" s="20">
        <v>10944.377856000001</v>
      </c>
      <c r="I24" s="20">
        <v>0</v>
      </c>
      <c r="J24" s="20">
        <v>0</v>
      </c>
      <c r="K24" s="20">
        <v>123501.59760960005</v>
      </c>
      <c r="L24" s="20">
        <v>2125.4528934834298</v>
      </c>
      <c r="M24" s="20">
        <v>292.5051264</v>
      </c>
      <c r="N24" s="20">
        <v>68171.15405952002</v>
      </c>
      <c r="O24" s="20">
        <f t="shared" si="2"/>
        <v>398686.2102390786</v>
      </c>
      <c r="P24" s="22">
        <f t="shared" si="1"/>
        <v>346163.2102390786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59905.88599410606</v>
      </c>
      <c r="F25" s="20">
        <v>112960.9099570339</v>
      </c>
      <c r="G25" s="20">
        <v>24151.324435200004</v>
      </c>
      <c r="H25" s="20">
        <v>10944.377856000001</v>
      </c>
      <c r="I25" s="20">
        <v>0</v>
      </c>
      <c r="J25" s="20">
        <v>0</v>
      </c>
      <c r="K25" s="20">
        <v>123501.59760960005</v>
      </c>
      <c r="L25" s="20">
        <v>2162.3533982369286</v>
      </c>
      <c r="M25" s="20">
        <v>292.5051264</v>
      </c>
      <c r="N25" s="20">
        <v>68171.15405952002</v>
      </c>
      <c r="O25" s="20">
        <f t="shared" si="2"/>
        <v>402090.1084360969</v>
      </c>
      <c r="P25" s="22">
        <f t="shared" si="1"/>
        <v>349567.1084360969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60945.94813854097</v>
      </c>
      <c r="F26" s="20">
        <v>114922.09230660784</v>
      </c>
      <c r="G26" s="20">
        <v>24575.682282095837</v>
      </c>
      <c r="H26" s="20">
        <v>10944.377856000001</v>
      </c>
      <c r="I26" s="20">
        <v>0</v>
      </c>
      <c r="J26" s="20">
        <v>0</v>
      </c>
      <c r="K26" s="20">
        <v>123501.59760960005</v>
      </c>
      <c r="L26" s="20">
        <v>2199.8953171164467</v>
      </c>
      <c r="M26" s="20">
        <v>292.5051264</v>
      </c>
      <c r="N26" s="20">
        <v>68171.15405952002</v>
      </c>
      <c r="O26" s="20">
        <f t="shared" si="2"/>
        <v>405553.2526958812</v>
      </c>
      <c r="P26" s="22">
        <f t="shared" si="1"/>
        <v>353030.2526958812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62004.08926810127</v>
      </c>
      <c r="F27" s="20">
        <v>116917.36510617641</v>
      </c>
      <c r="G27" s="20">
        <v>25007.496431552026</v>
      </c>
      <c r="H27" s="20">
        <v>10944.377856000001</v>
      </c>
      <c r="I27" s="20">
        <v>0</v>
      </c>
      <c r="J27" s="20">
        <v>0</v>
      </c>
      <c r="K27" s="20">
        <v>123501.59760960005</v>
      </c>
      <c r="L27" s="20">
        <v>2238.089812187334</v>
      </c>
      <c r="M27" s="20">
        <v>292.5051264</v>
      </c>
      <c r="N27" s="20">
        <v>68171.15405952002</v>
      </c>
      <c r="O27" s="20">
        <f t="shared" si="2"/>
        <v>409076.67526953714</v>
      </c>
      <c r="P27" s="22">
        <f t="shared" si="1"/>
        <v>356553.67526953714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63080.62400414905</v>
      </c>
      <c r="F28" s="20">
        <v>118947.32161823395</v>
      </c>
      <c r="G28" s="20">
        <v>25446.89789669411</v>
      </c>
      <c r="H28" s="20">
        <v>10944.377856000001</v>
      </c>
      <c r="I28" s="20">
        <v>0</v>
      </c>
      <c r="J28" s="20">
        <v>0</v>
      </c>
      <c r="K28" s="20">
        <v>123501.59760960005</v>
      </c>
      <c r="L28" s="20">
        <v>2276.948239972577</v>
      </c>
      <c r="M28" s="20">
        <v>292.5051264</v>
      </c>
      <c r="N28" s="20">
        <v>68171.15405952002</v>
      </c>
      <c r="O28" s="20">
        <f t="shared" si="2"/>
        <v>412661.4264105698</v>
      </c>
      <c r="P28" s="22">
        <f t="shared" si="1"/>
        <v>360138.4264105698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64175.87244925535</v>
      </c>
      <c r="F29" s="25">
        <v>121012.56544085947</v>
      </c>
      <c r="G29" s="25">
        <v>25894.019992651734</v>
      </c>
      <c r="H29" s="25">
        <v>10944.377856000001</v>
      </c>
      <c r="I29" s="25">
        <v>0</v>
      </c>
      <c r="J29" s="25">
        <v>0</v>
      </c>
      <c r="K29" s="25">
        <v>123501.59760960005</v>
      </c>
      <c r="L29" s="25">
        <v>2316.4821548440195</v>
      </c>
      <c r="M29" s="25">
        <v>292.5051264</v>
      </c>
      <c r="N29" s="25">
        <v>68171.15405952002</v>
      </c>
      <c r="O29" s="25">
        <f t="shared" si="2"/>
        <v>416308.57468913065</v>
      </c>
      <c r="P29" s="26">
        <f t="shared" si="1"/>
        <v>363785.57468913065</v>
      </c>
    </row>
    <row r="30" spans="1:16" ht="12.75">
      <c r="A30" s="60" t="s">
        <v>57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74">
        <f>IRR(P5:P29,0.1)</f>
        <v>0.037032598640192024</v>
      </c>
      <c r="N30" s="74"/>
      <c r="O30" s="74"/>
      <c r="P30" s="75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760218.2965629614</v>
      </c>
      <c r="L32" s="53"/>
      <c r="M32" s="52">
        <f>NPV(M31,P5:P29)</f>
        <v>279411.3032461935</v>
      </c>
      <c r="N32" s="53"/>
      <c r="O32" s="52">
        <f>NPV(0.06,P5:P29)</f>
        <v>-656937.1917600909</v>
      </c>
      <c r="P32" s="77"/>
    </row>
  </sheetData>
  <mergeCells count="15">
    <mergeCell ref="A30:H32"/>
    <mergeCell ref="P2:P3"/>
    <mergeCell ref="O31:P31"/>
    <mergeCell ref="M31:N31"/>
    <mergeCell ref="K31:L31"/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7">
      <selection activeCell="O37" sqref="O37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83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f>'Fund Requirement '!F25</f>
        <v>106270.024420824</v>
      </c>
      <c r="C5" s="19">
        <v>0</v>
      </c>
      <c r="D5" s="20">
        <f aca="true" t="shared" si="0" ref="D5:D29">C5+B5</f>
        <v>106270.024420824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-106270.024420824</v>
      </c>
    </row>
    <row r="6" spans="1:16" ht="12.75">
      <c r="A6" s="21">
        <v>2006</v>
      </c>
      <c r="B6" s="20">
        <f>'Fund Requirement '!I25</f>
        <v>138959.51955754837</v>
      </c>
      <c r="C6" s="19">
        <v>0</v>
      </c>
      <c r="D6" s="20">
        <f t="shared" si="0"/>
        <v>138959.51955754837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-138959.51955754837</v>
      </c>
    </row>
    <row r="7" spans="1:16" ht="12.75">
      <c r="A7" s="21">
        <v>2007</v>
      </c>
      <c r="B7" s="20">
        <f>'Fund Requirement '!L25</f>
        <v>844326.3608494364</v>
      </c>
      <c r="C7" s="19">
        <v>0</v>
      </c>
      <c r="D7" s="20">
        <f t="shared" si="0"/>
        <v>844326.3608494364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-844326.3608494364</v>
      </c>
    </row>
    <row r="8" spans="1:16" ht="12.75">
      <c r="A8" s="21">
        <v>2008</v>
      </c>
      <c r="B8" s="20">
        <f>'Fund Requirement '!O25</f>
        <v>1034371.9017490881</v>
      </c>
      <c r="C8" s="19">
        <v>0</v>
      </c>
      <c r="D8" s="20">
        <f t="shared" si="0"/>
        <v>1034371.9017490881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-1034371.9017490881</v>
      </c>
    </row>
    <row r="9" spans="1:16" ht="12.75">
      <c r="A9" s="21">
        <v>2009</v>
      </c>
      <c r="B9" s="20">
        <f>'Fund Requirement '!R25</f>
        <v>1315684.1515549563</v>
      </c>
      <c r="C9" s="19">
        <v>0</v>
      </c>
      <c r="D9" s="20">
        <f t="shared" si="0"/>
        <v>1315684.1515549563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-1315684.1515549563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16902.1864648</v>
      </c>
      <c r="F10" s="20">
        <v>11806.932748800002</v>
      </c>
      <c r="G10" s="20">
        <v>6811.28</v>
      </c>
      <c r="H10" s="20">
        <v>4054.4</v>
      </c>
      <c r="I10" s="20">
        <v>0</v>
      </c>
      <c r="J10" s="20">
        <v>0</v>
      </c>
      <c r="K10" s="20">
        <v>45751.79</v>
      </c>
      <c r="L10" s="20">
        <v>610.0986528</v>
      </c>
      <c r="M10" s="20">
        <v>108.36</v>
      </c>
      <c r="N10" s="20">
        <v>25254.348</v>
      </c>
      <c r="O10" s="20">
        <f aca="true" t="shared" si="2" ref="O10:O29">SUM(E10:N10)</f>
        <v>111299.39586640001</v>
      </c>
      <c r="P10" s="22">
        <f t="shared" si="1"/>
        <v>58776.39586640001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17225.61069257573</v>
      </c>
      <c r="F11" s="20">
        <v>12032.859028493653</v>
      </c>
      <c r="G11" s="20">
        <v>6940.338695901423</v>
      </c>
      <c r="H11" s="20">
        <v>4054.4</v>
      </c>
      <c r="I11" s="20">
        <v>0</v>
      </c>
      <c r="J11" s="20">
        <v>0</v>
      </c>
      <c r="K11" s="20">
        <v>45751.79</v>
      </c>
      <c r="L11" s="20">
        <v>621.7729226383897</v>
      </c>
      <c r="M11" s="20">
        <v>108.36</v>
      </c>
      <c r="N11" s="20">
        <v>25254.348</v>
      </c>
      <c r="O11" s="20">
        <f t="shared" si="2"/>
        <v>111989.4793396092</v>
      </c>
      <c r="P11" s="22">
        <f t="shared" si="1"/>
        <v>59466.4793396092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17555.226767665245</v>
      </c>
      <c r="F12" s="20">
        <v>12263.110590302542</v>
      </c>
      <c r="G12" s="20">
        <v>7071.84276873461</v>
      </c>
      <c r="H12" s="20">
        <v>4054.4</v>
      </c>
      <c r="I12" s="20">
        <v>0</v>
      </c>
      <c r="J12" s="20">
        <v>0</v>
      </c>
      <c r="K12" s="20">
        <v>45751.79</v>
      </c>
      <c r="L12" s="20">
        <v>633.6706924193667</v>
      </c>
      <c r="M12" s="20">
        <v>108.36</v>
      </c>
      <c r="N12" s="20">
        <v>25254.348</v>
      </c>
      <c r="O12" s="20">
        <f t="shared" si="2"/>
        <v>112692.74881912177</v>
      </c>
      <c r="P12" s="22">
        <f t="shared" si="1"/>
        <v>60169.74881912177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17891.15329205362</v>
      </c>
      <c r="F13" s="20">
        <v>12497.770283014584</v>
      </c>
      <c r="G13" s="20">
        <v>7205.8385529855595</v>
      </c>
      <c r="H13" s="20">
        <v>4054.4</v>
      </c>
      <c r="I13" s="20">
        <v>0</v>
      </c>
      <c r="J13" s="20">
        <v>0</v>
      </c>
      <c r="K13" s="20">
        <v>45751.79</v>
      </c>
      <c r="L13" s="20">
        <v>645.7962431814501</v>
      </c>
      <c r="M13" s="20">
        <v>108.36</v>
      </c>
      <c r="N13" s="20">
        <v>25254.348</v>
      </c>
      <c r="O13" s="20">
        <f t="shared" si="2"/>
        <v>113409.45637123521</v>
      </c>
      <c r="P13" s="22">
        <f t="shared" si="1"/>
        <v>60886.45637123521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18233.5111406956</v>
      </c>
      <c r="F14" s="20">
        <v>12736.92254318861</v>
      </c>
      <c r="G14" s="20">
        <v>7342.373261076331</v>
      </c>
      <c r="H14" s="20">
        <v>4054.4</v>
      </c>
      <c r="I14" s="20">
        <v>0</v>
      </c>
      <c r="J14" s="20">
        <v>0</v>
      </c>
      <c r="K14" s="20">
        <v>45751.79</v>
      </c>
      <c r="L14" s="20">
        <v>658.1539380079134</v>
      </c>
      <c r="M14" s="20">
        <v>108.36</v>
      </c>
      <c r="N14" s="20">
        <v>25254.348</v>
      </c>
      <c r="O14" s="20">
        <f t="shared" si="2"/>
        <v>114139.85888296846</v>
      </c>
      <c r="P14" s="22">
        <f t="shared" si="1"/>
        <v>61616.85888296846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18582.423505100003</v>
      </c>
      <c r="F15" s="20">
        <v>12980.653425600003</v>
      </c>
      <c r="G15" s="20">
        <v>7481.495</v>
      </c>
      <c r="H15" s="20">
        <v>4054.4</v>
      </c>
      <c r="I15" s="20">
        <v>0</v>
      </c>
      <c r="J15" s="20">
        <v>0</v>
      </c>
      <c r="K15" s="20">
        <v>45751.79</v>
      </c>
      <c r="L15" s="20">
        <v>670.7482236</v>
      </c>
      <c r="M15" s="20">
        <v>108.36</v>
      </c>
      <c r="N15" s="20">
        <v>25254.348</v>
      </c>
      <c r="O15" s="20">
        <f t="shared" si="2"/>
        <v>114884.21815430002</v>
      </c>
      <c r="P15" s="22">
        <f t="shared" si="1"/>
        <v>62361.21815430002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18925.52790876298</v>
      </c>
      <c r="F16" s="20">
        <v>13220.327187826117</v>
      </c>
      <c r="G16" s="20">
        <v>7620.11233275385</v>
      </c>
      <c r="H16" s="20">
        <v>4054.4</v>
      </c>
      <c r="I16" s="20">
        <v>0</v>
      </c>
      <c r="J16" s="20">
        <v>0</v>
      </c>
      <c r="K16" s="20">
        <v>45751.79</v>
      </c>
      <c r="L16" s="20">
        <v>683.1328659585771</v>
      </c>
      <c r="M16" s="20">
        <v>108.36</v>
      </c>
      <c r="N16" s="20">
        <v>25254.348</v>
      </c>
      <c r="O16" s="20">
        <f t="shared" si="2"/>
        <v>115617.99829530151</v>
      </c>
      <c r="P16" s="22">
        <f t="shared" si="1"/>
        <v>63094.99829530151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19274.967366938115</v>
      </c>
      <c r="F17" s="20">
        <v>13464.426268796688</v>
      </c>
      <c r="G17" s="20">
        <v>7761.297971032171</v>
      </c>
      <c r="H17" s="20">
        <v>4054.4</v>
      </c>
      <c r="I17" s="20">
        <v>0</v>
      </c>
      <c r="J17" s="20">
        <v>0</v>
      </c>
      <c r="K17" s="20">
        <v>45751.79</v>
      </c>
      <c r="L17" s="20">
        <v>695.7461774441532</v>
      </c>
      <c r="M17" s="20">
        <v>108.36</v>
      </c>
      <c r="N17" s="20">
        <v>25254.348</v>
      </c>
      <c r="O17" s="20">
        <f t="shared" si="2"/>
        <v>116365.33578421113</v>
      </c>
      <c r="P17" s="22">
        <f t="shared" si="1"/>
        <v>63842.33578421113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19630.85884964054</v>
      </c>
      <c r="F18" s="20">
        <v>13713.03237729568</v>
      </c>
      <c r="G18" s="20">
        <v>7905.099500466106</v>
      </c>
      <c r="H18" s="20">
        <v>4054.4</v>
      </c>
      <c r="I18" s="20">
        <v>0</v>
      </c>
      <c r="J18" s="20">
        <v>0</v>
      </c>
      <c r="K18" s="20">
        <v>45751.79</v>
      </c>
      <c r="L18" s="20">
        <v>708.5923801879185</v>
      </c>
      <c r="M18" s="20">
        <v>108.36</v>
      </c>
      <c r="N18" s="20">
        <v>25254.348</v>
      </c>
      <c r="O18" s="20">
        <f t="shared" si="2"/>
        <v>117126.48110759025</v>
      </c>
      <c r="P18" s="22">
        <f t="shared" si="1"/>
        <v>64603.481107590254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19993.321486612418</v>
      </c>
      <c r="F19" s="20">
        <v>13966.228730772917</v>
      </c>
      <c r="G19" s="20">
        <v>8051.565388354611</v>
      </c>
      <c r="H19" s="20">
        <v>4054.4</v>
      </c>
      <c r="I19" s="20">
        <v>0</v>
      </c>
      <c r="J19" s="20">
        <v>0</v>
      </c>
      <c r="K19" s="20">
        <v>45751.79</v>
      </c>
      <c r="L19" s="20">
        <v>721.6757742782281</v>
      </c>
      <c r="M19" s="20">
        <v>108.36</v>
      </c>
      <c r="N19" s="20">
        <v>25254.348</v>
      </c>
      <c r="O19" s="20">
        <f t="shared" si="2"/>
        <v>117901.68938001816</v>
      </c>
      <c r="P19" s="22">
        <f t="shared" si="1"/>
        <v>65378.68938001816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20362.476607200002</v>
      </c>
      <c r="F20" s="20">
        <v>14224.100083200003</v>
      </c>
      <c r="G20" s="20">
        <v>8200.745</v>
      </c>
      <c r="H20" s="20">
        <v>4054.4</v>
      </c>
      <c r="I20" s="20">
        <v>0</v>
      </c>
      <c r="J20" s="20">
        <v>0</v>
      </c>
      <c r="K20" s="20">
        <v>45751.79</v>
      </c>
      <c r="L20" s="20">
        <v>735.0007392</v>
      </c>
      <c r="M20" s="20">
        <v>108.36</v>
      </c>
      <c r="N20" s="20">
        <v>25254.348</v>
      </c>
      <c r="O20" s="20">
        <f t="shared" si="2"/>
        <v>118691.22042960001</v>
      </c>
      <c r="P20" s="22">
        <f t="shared" si="1"/>
        <v>66168.22042960001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20715.965250509747</v>
      </c>
      <c r="F21" s="20">
        <v>14471.027700979783</v>
      </c>
      <c r="G21" s="20">
        <v>8344.838567227713</v>
      </c>
      <c r="H21" s="20">
        <v>4054.4</v>
      </c>
      <c r="I21" s="20">
        <v>0</v>
      </c>
      <c r="J21" s="20">
        <v>0</v>
      </c>
      <c r="K21" s="20">
        <v>45751.79</v>
      </c>
      <c r="L21" s="20">
        <v>747.7602094325945</v>
      </c>
      <c r="M21" s="20">
        <v>108.36</v>
      </c>
      <c r="N21" s="20">
        <v>25254.348</v>
      </c>
      <c r="O21" s="20">
        <f t="shared" si="2"/>
        <v>119448.48972814986</v>
      </c>
      <c r="P21" s="22">
        <f t="shared" si="1"/>
        <v>66925.48972814986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21075.597840383645</v>
      </c>
      <c r="F22" s="20">
        <v>14722.247140060095</v>
      </c>
      <c r="G22" s="20">
        <v>8491.463972247771</v>
      </c>
      <c r="H22" s="20">
        <v>4054.4</v>
      </c>
      <c r="I22" s="20">
        <v>0</v>
      </c>
      <c r="J22" s="20">
        <v>0</v>
      </c>
      <c r="K22" s="20">
        <v>45751.79</v>
      </c>
      <c r="L22" s="20">
        <v>760.7414505898836</v>
      </c>
      <c r="M22" s="20">
        <v>108.36</v>
      </c>
      <c r="N22" s="20">
        <v>25254.348</v>
      </c>
      <c r="O22" s="20">
        <f t="shared" si="2"/>
        <v>120218.94840328139</v>
      </c>
      <c r="P22" s="22">
        <f t="shared" si="1"/>
        <v>67695.94840328139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21441.481287460247</v>
      </c>
      <c r="F23" s="20">
        <v>14977.833082300715</v>
      </c>
      <c r="G23" s="20">
        <v>8640.66570145003</v>
      </c>
      <c r="H23" s="20">
        <v>4054.4</v>
      </c>
      <c r="I23" s="20">
        <v>0</v>
      </c>
      <c r="J23" s="20">
        <v>0</v>
      </c>
      <c r="K23" s="20">
        <v>45751.79</v>
      </c>
      <c r="L23" s="20">
        <v>773.9483217013898</v>
      </c>
      <c r="M23" s="20">
        <v>108.36</v>
      </c>
      <c r="N23" s="20">
        <v>25254.348</v>
      </c>
      <c r="O23" s="20">
        <f t="shared" si="2"/>
        <v>121002.8263929124</v>
      </c>
      <c r="P23" s="22">
        <f t="shared" si="1"/>
        <v>68479.8263929124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21813.724364767626</v>
      </c>
      <c r="F24" s="20">
        <v>15237.861510523748</v>
      </c>
      <c r="G24" s="20">
        <v>8792.48902288535</v>
      </c>
      <c r="H24" s="20">
        <v>4054.4</v>
      </c>
      <c r="I24" s="20">
        <v>0</v>
      </c>
      <c r="J24" s="20">
        <v>0</v>
      </c>
      <c r="K24" s="20">
        <v>45751.79</v>
      </c>
      <c r="L24" s="20">
        <v>787.3847490211522</v>
      </c>
      <c r="M24" s="20">
        <v>108.36</v>
      </c>
      <c r="N24" s="20">
        <v>25254.348</v>
      </c>
      <c r="O24" s="20">
        <f t="shared" si="2"/>
        <v>121800.35764719787</v>
      </c>
      <c r="P24" s="22">
        <f t="shared" si="1"/>
        <v>69277.35764719787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22192.437740200003</v>
      </c>
      <c r="F25" s="20">
        <v>15502.409731200005</v>
      </c>
      <c r="G25" s="20">
        <v>8946.98</v>
      </c>
      <c r="H25" s="20">
        <v>4054.4</v>
      </c>
      <c r="I25" s="20">
        <v>0</v>
      </c>
      <c r="J25" s="20">
        <v>0</v>
      </c>
      <c r="K25" s="20">
        <v>45751.79</v>
      </c>
      <c r="L25" s="20">
        <v>801.0547272</v>
      </c>
      <c r="M25" s="20">
        <v>108.36</v>
      </c>
      <c r="N25" s="20">
        <v>25254.348</v>
      </c>
      <c r="O25" s="20">
        <f t="shared" si="2"/>
        <v>122611.7801986</v>
      </c>
      <c r="P25" s="22">
        <f t="shared" si="1"/>
        <v>70088.7801986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22577.73400956127</v>
      </c>
      <c r="F26" s="20">
        <v>15771.556397531367</v>
      </c>
      <c r="G26" s="20">
        <v>9104.18550561138</v>
      </c>
      <c r="H26" s="20">
        <v>4054.4</v>
      </c>
      <c r="I26" s="20">
        <v>0</v>
      </c>
      <c r="J26" s="20">
        <v>0</v>
      </c>
      <c r="K26" s="20">
        <v>45751.79</v>
      </c>
      <c r="L26" s="20">
        <v>814.9623204782852</v>
      </c>
      <c r="M26" s="20">
        <v>108.36</v>
      </c>
      <c r="N26" s="20">
        <v>25254.348</v>
      </c>
      <c r="O26" s="20">
        <f t="shared" si="2"/>
        <v>123437.3362331823</v>
      </c>
      <c r="P26" s="22">
        <f t="shared" si="1"/>
        <v>70914.3362331823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22969.727730185354</v>
      </c>
      <c r="F27" s="20">
        <v>16045.381532936131</v>
      </c>
      <c r="G27" s="20">
        <v>9264.153236129325</v>
      </c>
      <c r="H27" s="20">
        <v>4054.4</v>
      </c>
      <c r="I27" s="20">
        <v>0</v>
      </c>
      <c r="J27" s="20">
        <v>0</v>
      </c>
      <c r="K27" s="20">
        <v>45751.79</v>
      </c>
      <c r="L27" s="20">
        <v>829.1116638994379</v>
      </c>
      <c r="M27" s="20">
        <v>108.36</v>
      </c>
      <c r="N27" s="20">
        <v>25254.348</v>
      </c>
      <c r="O27" s="20">
        <f t="shared" si="2"/>
        <v>124277.27216315025</v>
      </c>
      <c r="P27" s="22">
        <f t="shared" si="1"/>
        <v>71754.27216315025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23368.535455143356</v>
      </c>
      <c r="F28" s="20">
        <v>16323.966554944216</v>
      </c>
      <c r="G28" s="20">
        <v>9426.931726027258</v>
      </c>
      <c r="H28" s="20">
        <v>4054.4</v>
      </c>
      <c r="I28" s="20">
        <v>0</v>
      </c>
      <c r="J28" s="20">
        <v>0</v>
      </c>
      <c r="K28" s="20">
        <v>45751.79</v>
      </c>
      <c r="L28" s="20">
        <v>843.5069645447021</v>
      </c>
      <c r="M28" s="20">
        <v>108.36</v>
      </c>
      <c r="N28" s="20">
        <v>25254.348</v>
      </c>
      <c r="O28" s="20">
        <f t="shared" si="2"/>
        <v>125131.83870065953</v>
      </c>
      <c r="P28" s="22">
        <f t="shared" si="1"/>
        <v>72608.83870065953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23774.275768047904</v>
      </c>
      <c r="F29" s="25">
        <v>16607.394299509557</v>
      </c>
      <c r="G29" s="25">
        <v>9592.570362567641</v>
      </c>
      <c r="H29" s="25">
        <v>4054.4</v>
      </c>
      <c r="I29" s="25">
        <v>0</v>
      </c>
      <c r="J29" s="25">
        <v>0</v>
      </c>
      <c r="K29" s="25">
        <v>45751.79</v>
      </c>
      <c r="L29" s="25">
        <v>858.1525027894277</v>
      </c>
      <c r="M29" s="25">
        <v>108.36</v>
      </c>
      <c r="N29" s="25">
        <v>25254.348</v>
      </c>
      <c r="O29" s="25">
        <f t="shared" si="2"/>
        <v>126001.29093291452</v>
      </c>
      <c r="P29" s="26">
        <f t="shared" si="1"/>
        <v>73478.29093291452</v>
      </c>
    </row>
    <row r="30" spans="1:16" ht="12.75">
      <c r="A30" s="60" t="s">
        <v>45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58" t="s">
        <v>63</v>
      </c>
      <c r="N30" s="57"/>
      <c r="O30" s="57"/>
      <c r="P30" s="59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-2212459.4781550677</v>
      </c>
      <c r="L32" s="53"/>
      <c r="M32" s="52">
        <f>NPV(M31,P5:P29)</f>
        <v>-2224987.0900064725</v>
      </c>
      <c r="N32" s="53"/>
      <c r="O32" s="52">
        <f>NPV(O31,P5:P29)</f>
        <v>-2222058.809871392</v>
      </c>
      <c r="P32" s="77"/>
    </row>
  </sheetData>
  <mergeCells count="15"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  <mergeCell ref="A30:H32"/>
    <mergeCell ref="P2:P3"/>
    <mergeCell ref="O31:P31"/>
    <mergeCell ref="M31:N31"/>
    <mergeCell ref="K31:L31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0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84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f>'Fund Requirement '!F25</f>
        <v>106270.024420824</v>
      </c>
      <c r="C5" s="19">
        <v>0</v>
      </c>
      <c r="D5" s="20">
        <f aca="true" t="shared" si="0" ref="D5:D29">C5+B5</f>
        <v>106270.024420824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-106270.024420824</v>
      </c>
    </row>
    <row r="6" spans="1:16" ht="12.75">
      <c r="A6" s="21">
        <v>2006</v>
      </c>
      <c r="B6" s="20">
        <f>'Fund Requirement '!I25</f>
        <v>138959.51955754837</v>
      </c>
      <c r="C6" s="19">
        <v>0</v>
      </c>
      <c r="D6" s="20">
        <f t="shared" si="0"/>
        <v>138959.51955754837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-138959.51955754837</v>
      </c>
    </row>
    <row r="7" spans="1:16" ht="12.75">
      <c r="A7" s="21">
        <v>2007</v>
      </c>
      <c r="B7" s="20">
        <f>'Fund Requirement '!L25</f>
        <v>844326.3608494364</v>
      </c>
      <c r="C7" s="19">
        <v>0</v>
      </c>
      <c r="D7" s="20">
        <f t="shared" si="0"/>
        <v>844326.3608494364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-844326.3608494364</v>
      </c>
    </row>
    <row r="8" spans="1:16" ht="12.75">
      <c r="A8" s="21">
        <v>2008</v>
      </c>
      <c r="B8" s="20">
        <f>'Fund Requirement '!O25</f>
        <v>1034371.9017490881</v>
      </c>
      <c r="C8" s="19">
        <v>0</v>
      </c>
      <c r="D8" s="20">
        <f t="shared" si="0"/>
        <v>1034371.9017490881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-1034371.9017490881</v>
      </c>
    </row>
    <row r="9" spans="1:16" ht="12.75">
      <c r="A9" s="21">
        <v>2009</v>
      </c>
      <c r="B9" s="20">
        <f>'Fund Requirement '!R25</f>
        <v>1315684.1515549563</v>
      </c>
      <c r="C9" s="19">
        <v>0</v>
      </c>
      <c r="D9" s="20">
        <f t="shared" si="0"/>
        <v>1315684.1515549563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-1315684.1515549563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19316.784531200003</v>
      </c>
      <c r="F10" s="20">
        <v>15421.299916800004</v>
      </c>
      <c r="G10" s="20">
        <v>7784.32</v>
      </c>
      <c r="H10" s="20">
        <v>4633.6</v>
      </c>
      <c r="I10" s="20">
        <v>0</v>
      </c>
      <c r="J10" s="20">
        <v>0</v>
      </c>
      <c r="K10" s="20">
        <v>52287.76</v>
      </c>
      <c r="L10" s="20">
        <v>697.2556031999999</v>
      </c>
      <c r="M10" s="20">
        <v>123.84</v>
      </c>
      <c r="N10" s="20">
        <v>28862.112</v>
      </c>
      <c r="O10" s="20">
        <f aca="true" t="shared" si="2" ref="O10:O29">SUM(E10:N10)</f>
        <v>129126.97205119999</v>
      </c>
      <c r="P10" s="22">
        <f t="shared" si="1"/>
        <v>76603.97205119999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19686.41222008655</v>
      </c>
      <c r="F11" s="20">
        <v>15716.387302522317</v>
      </c>
      <c r="G11" s="20">
        <v>7931.81565245877</v>
      </c>
      <c r="H11" s="20">
        <v>4633.6</v>
      </c>
      <c r="I11" s="20">
        <v>0</v>
      </c>
      <c r="J11" s="20">
        <v>0</v>
      </c>
      <c r="K11" s="20">
        <v>52287.76</v>
      </c>
      <c r="L11" s="20">
        <v>710.5976258724453</v>
      </c>
      <c r="M11" s="20">
        <v>123.84</v>
      </c>
      <c r="N11" s="20">
        <v>28862.112</v>
      </c>
      <c r="O11" s="20">
        <f t="shared" si="2"/>
        <v>129952.52480094007</v>
      </c>
      <c r="P11" s="22">
        <f t="shared" si="1"/>
        <v>77429.52480094007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20063.116305903135</v>
      </c>
      <c r="F12" s="20">
        <v>16017.124036313522</v>
      </c>
      <c r="G12" s="20">
        <v>8082.106021410983</v>
      </c>
      <c r="H12" s="20">
        <v>4633.6</v>
      </c>
      <c r="I12" s="20">
        <v>0</v>
      </c>
      <c r="J12" s="20">
        <v>0</v>
      </c>
      <c r="K12" s="20">
        <v>52287.76</v>
      </c>
      <c r="L12" s="20">
        <v>724.1950770507048</v>
      </c>
      <c r="M12" s="20">
        <v>123.84</v>
      </c>
      <c r="N12" s="20">
        <v>28862.112</v>
      </c>
      <c r="O12" s="20">
        <f t="shared" si="2"/>
        <v>130793.85344067833</v>
      </c>
      <c r="P12" s="22">
        <f t="shared" si="1"/>
        <v>78270.85344067833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20447.03233377556</v>
      </c>
      <c r="F13" s="20">
        <v>16323.618328835375</v>
      </c>
      <c r="G13" s="20">
        <v>8235.244060554924</v>
      </c>
      <c r="H13" s="20">
        <v>4633.6</v>
      </c>
      <c r="I13" s="20">
        <v>0</v>
      </c>
      <c r="J13" s="20">
        <v>0</v>
      </c>
      <c r="K13" s="20">
        <v>52287.76</v>
      </c>
      <c r="L13" s="20">
        <v>738.0528493502287</v>
      </c>
      <c r="M13" s="20">
        <v>123.84</v>
      </c>
      <c r="N13" s="20">
        <v>28862.112</v>
      </c>
      <c r="O13" s="20">
        <f t="shared" si="2"/>
        <v>131651.25957251608</v>
      </c>
      <c r="P13" s="22">
        <f t="shared" si="1"/>
        <v>79128.25957251608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20838.29844650925</v>
      </c>
      <c r="F14" s="20">
        <v>16635.980464572876</v>
      </c>
      <c r="G14" s="20">
        <v>8391.283726944379</v>
      </c>
      <c r="H14" s="20">
        <v>4633.6</v>
      </c>
      <c r="I14" s="20">
        <v>0</v>
      </c>
      <c r="J14" s="20">
        <v>0</v>
      </c>
      <c r="K14" s="20">
        <v>52287.76</v>
      </c>
      <c r="L14" s="20">
        <v>752.1759291519011</v>
      </c>
      <c r="M14" s="20">
        <v>123.84</v>
      </c>
      <c r="N14" s="20">
        <v>28862.112</v>
      </c>
      <c r="O14" s="20">
        <f t="shared" si="2"/>
        <v>132525.0505671784</v>
      </c>
      <c r="P14" s="22">
        <f t="shared" si="1"/>
        <v>80002.0505671784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21237.0554344</v>
      </c>
      <c r="F15" s="20">
        <v>16954.322841600002</v>
      </c>
      <c r="G15" s="20">
        <v>8550.28</v>
      </c>
      <c r="H15" s="20">
        <v>4633.6</v>
      </c>
      <c r="I15" s="20">
        <v>0</v>
      </c>
      <c r="J15" s="20">
        <v>0</v>
      </c>
      <c r="K15" s="20">
        <v>52287.76</v>
      </c>
      <c r="L15" s="20">
        <v>766.5693984</v>
      </c>
      <c r="M15" s="20">
        <v>123.84</v>
      </c>
      <c r="N15" s="20">
        <v>28862.112</v>
      </c>
      <c r="O15" s="20">
        <f t="shared" si="2"/>
        <v>133415.5396744</v>
      </c>
      <c r="P15" s="22">
        <f t="shared" si="1"/>
        <v>80892.5396744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21629.17475287198</v>
      </c>
      <c r="F16" s="20">
        <v>17267.366122874926</v>
      </c>
      <c r="G16" s="20">
        <v>8708.699808861542</v>
      </c>
      <c r="H16" s="20">
        <v>4633.6</v>
      </c>
      <c r="I16" s="20">
        <v>0</v>
      </c>
      <c r="J16" s="20">
        <v>0</v>
      </c>
      <c r="K16" s="20">
        <v>52287.76</v>
      </c>
      <c r="L16" s="20">
        <v>780.723275381231</v>
      </c>
      <c r="M16" s="20">
        <v>123.84</v>
      </c>
      <c r="N16" s="20">
        <v>28862.112</v>
      </c>
      <c r="O16" s="20">
        <f t="shared" si="2"/>
        <v>134293.27595998967</v>
      </c>
      <c r="P16" s="22">
        <f t="shared" si="1"/>
        <v>81770.27595998967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22028.53413364356</v>
      </c>
      <c r="F17" s="20">
        <v>17586.189412305877</v>
      </c>
      <c r="G17" s="20">
        <v>8870.054824036766</v>
      </c>
      <c r="H17" s="20">
        <v>4633.6</v>
      </c>
      <c r="I17" s="20">
        <v>0</v>
      </c>
      <c r="J17" s="20">
        <v>0</v>
      </c>
      <c r="K17" s="20">
        <v>52287.76</v>
      </c>
      <c r="L17" s="20">
        <v>795.1384885076037</v>
      </c>
      <c r="M17" s="20">
        <v>123.84</v>
      </c>
      <c r="N17" s="20">
        <v>28862.112</v>
      </c>
      <c r="O17" s="20">
        <f t="shared" si="2"/>
        <v>135187.2288584938</v>
      </c>
      <c r="P17" s="22">
        <f t="shared" si="1"/>
        <v>82664.22885849379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22435.267256732048</v>
      </c>
      <c r="F18" s="20">
        <v>17910.899431569866</v>
      </c>
      <c r="G18" s="20">
        <v>9034.399429104122</v>
      </c>
      <c r="H18" s="20">
        <v>4633.6</v>
      </c>
      <c r="I18" s="20">
        <v>0</v>
      </c>
      <c r="J18" s="20">
        <v>0</v>
      </c>
      <c r="K18" s="20">
        <v>52287.76</v>
      </c>
      <c r="L18" s="20">
        <v>809.8198630719068</v>
      </c>
      <c r="M18" s="20">
        <v>123.84</v>
      </c>
      <c r="N18" s="20">
        <v>28862.112</v>
      </c>
      <c r="O18" s="20">
        <f t="shared" si="2"/>
        <v>136097.69798047794</v>
      </c>
      <c r="P18" s="22">
        <f t="shared" si="1"/>
        <v>83574.69798047794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22849.510270414194</v>
      </c>
      <c r="F19" s="20">
        <v>18241.604872846256</v>
      </c>
      <c r="G19" s="20">
        <v>9201.789015262411</v>
      </c>
      <c r="H19" s="20">
        <v>4633.6</v>
      </c>
      <c r="I19" s="20">
        <v>0</v>
      </c>
      <c r="J19" s="20">
        <v>0</v>
      </c>
      <c r="K19" s="20">
        <v>52287.76</v>
      </c>
      <c r="L19" s="20">
        <v>824.7723134608323</v>
      </c>
      <c r="M19" s="20">
        <v>123.84</v>
      </c>
      <c r="N19" s="20">
        <v>28862.112</v>
      </c>
      <c r="O19" s="20">
        <f t="shared" si="2"/>
        <v>137024.9884719837</v>
      </c>
      <c r="P19" s="22">
        <f t="shared" si="1"/>
        <v>84501.9884719837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23271.401836800003</v>
      </c>
      <c r="F20" s="20">
        <v>18578.4164352</v>
      </c>
      <c r="G20" s="20">
        <v>9372.28</v>
      </c>
      <c r="H20" s="20">
        <v>4633.6</v>
      </c>
      <c r="I20" s="20">
        <v>0</v>
      </c>
      <c r="J20" s="20">
        <v>0</v>
      </c>
      <c r="K20" s="20">
        <v>52287.76</v>
      </c>
      <c r="L20" s="20">
        <v>840.0008448</v>
      </c>
      <c r="M20" s="20">
        <v>123.84</v>
      </c>
      <c r="N20" s="20">
        <v>28862.112</v>
      </c>
      <c r="O20" s="20">
        <f t="shared" si="2"/>
        <v>137969.4111168</v>
      </c>
      <c r="P20" s="22">
        <f t="shared" si="1"/>
        <v>85446.41111680001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23675.388857725422</v>
      </c>
      <c r="F21" s="20">
        <v>18900.934140055226</v>
      </c>
      <c r="G21" s="20">
        <v>9536.958362545956</v>
      </c>
      <c r="H21" s="20">
        <v>4633.6</v>
      </c>
      <c r="I21" s="20">
        <v>0</v>
      </c>
      <c r="J21" s="20">
        <v>0</v>
      </c>
      <c r="K21" s="20">
        <v>52287.76</v>
      </c>
      <c r="L21" s="20">
        <v>854.5830964943937</v>
      </c>
      <c r="M21" s="20">
        <v>123.84</v>
      </c>
      <c r="N21" s="20">
        <v>28862.112</v>
      </c>
      <c r="O21" s="20">
        <f t="shared" si="2"/>
        <v>138875.176456821</v>
      </c>
      <c r="P21" s="22">
        <f t="shared" si="1"/>
        <v>86352.176456821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24086.397531867024</v>
      </c>
      <c r="F22" s="20">
        <v>19229.057489058087</v>
      </c>
      <c r="G22" s="20">
        <v>9704.530253997455</v>
      </c>
      <c r="H22" s="20">
        <v>4633.6</v>
      </c>
      <c r="I22" s="20">
        <v>0</v>
      </c>
      <c r="J22" s="20">
        <v>0</v>
      </c>
      <c r="K22" s="20">
        <v>52287.76</v>
      </c>
      <c r="L22" s="20">
        <v>869.4188006741526</v>
      </c>
      <c r="M22" s="20">
        <v>123.84</v>
      </c>
      <c r="N22" s="20">
        <v>28862.112</v>
      </c>
      <c r="O22" s="20">
        <f t="shared" si="2"/>
        <v>139796.71607559672</v>
      </c>
      <c r="P22" s="22">
        <f t="shared" si="1"/>
        <v>87273.71607559672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24504.550042811716</v>
      </c>
      <c r="F23" s="20">
        <v>19562.884025862157</v>
      </c>
      <c r="G23" s="20">
        <v>9875.046515942893</v>
      </c>
      <c r="H23" s="20">
        <v>4633.6</v>
      </c>
      <c r="I23" s="20">
        <v>0</v>
      </c>
      <c r="J23" s="20">
        <v>0</v>
      </c>
      <c r="K23" s="20">
        <v>52287.76</v>
      </c>
      <c r="L23" s="20">
        <v>884.5123676587311</v>
      </c>
      <c r="M23" s="20">
        <v>123.84</v>
      </c>
      <c r="N23" s="20">
        <v>28862.112</v>
      </c>
      <c r="O23" s="20">
        <f t="shared" si="2"/>
        <v>140734.30495227547</v>
      </c>
      <c r="P23" s="22">
        <f t="shared" si="1"/>
        <v>88211.30495227547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24929.970702591567</v>
      </c>
      <c r="F24" s="20">
        <v>19902.512993337135</v>
      </c>
      <c r="G24" s="20">
        <v>10048.558883297543</v>
      </c>
      <c r="H24" s="20">
        <v>4633.6</v>
      </c>
      <c r="I24" s="20">
        <v>0</v>
      </c>
      <c r="J24" s="20">
        <v>0</v>
      </c>
      <c r="K24" s="20">
        <v>52287.76</v>
      </c>
      <c r="L24" s="20">
        <v>899.8682845956024</v>
      </c>
      <c r="M24" s="20">
        <v>123.84</v>
      </c>
      <c r="N24" s="20">
        <v>28862.112</v>
      </c>
      <c r="O24" s="20">
        <f t="shared" si="2"/>
        <v>141688.22286382184</v>
      </c>
      <c r="P24" s="22">
        <f t="shared" si="1"/>
        <v>89165.22286382184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25362.785988800002</v>
      </c>
      <c r="F25" s="20">
        <v>20248.045363200003</v>
      </c>
      <c r="G25" s="20">
        <v>10225.12</v>
      </c>
      <c r="H25" s="20">
        <v>4633.6</v>
      </c>
      <c r="I25" s="20">
        <v>0</v>
      </c>
      <c r="J25" s="20">
        <v>0</v>
      </c>
      <c r="K25" s="20">
        <v>52287.76</v>
      </c>
      <c r="L25" s="20">
        <v>915.4911168</v>
      </c>
      <c r="M25" s="20">
        <v>123.84</v>
      </c>
      <c r="N25" s="20">
        <v>28862.112</v>
      </c>
      <c r="O25" s="20">
        <f t="shared" si="2"/>
        <v>142658.7544688</v>
      </c>
      <c r="P25" s="22">
        <f t="shared" si="1"/>
        <v>90135.7544688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25803.124582355733</v>
      </c>
      <c r="F26" s="20">
        <v>20599.58386616342</v>
      </c>
      <c r="G26" s="20">
        <v>10404.783434984434</v>
      </c>
      <c r="H26" s="20">
        <v>4633.6</v>
      </c>
      <c r="I26" s="20">
        <v>0</v>
      </c>
      <c r="J26" s="20">
        <v>0</v>
      </c>
      <c r="K26" s="20">
        <v>52287.76</v>
      </c>
      <c r="L26" s="20">
        <v>931.3855091180402</v>
      </c>
      <c r="M26" s="20">
        <v>123.84</v>
      </c>
      <c r="N26" s="20">
        <v>28862.112</v>
      </c>
      <c r="O26" s="20">
        <f t="shared" si="2"/>
        <v>143646.18939262163</v>
      </c>
      <c r="P26" s="22">
        <f t="shared" si="1"/>
        <v>91123.18939262163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26251.11740592612</v>
      </c>
      <c r="F27" s="20">
        <v>20957.233022610457</v>
      </c>
      <c r="G27" s="20">
        <v>10587.603698433515</v>
      </c>
      <c r="H27" s="20">
        <v>4633.6</v>
      </c>
      <c r="I27" s="20">
        <v>0</v>
      </c>
      <c r="J27" s="20">
        <v>0</v>
      </c>
      <c r="K27" s="20">
        <v>52287.76</v>
      </c>
      <c r="L27" s="20">
        <v>947.5561873136432</v>
      </c>
      <c r="M27" s="20">
        <v>123.84</v>
      </c>
      <c r="N27" s="20">
        <v>28862.112</v>
      </c>
      <c r="O27" s="20">
        <f t="shared" si="2"/>
        <v>144650.82231428375</v>
      </c>
      <c r="P27" s="22">
        <f t="shared" si="1"/>
        <v>92127.82231428375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26706.897663020976</v>
      </c>
      <c r="F28" s="20">
        <v>21321.09917380469</v>
      </c>
      <c r="G28" s="20">
        <v>10773.636258316867</v>
      </c>
      <c r="H28" s="20">
        <v>4633.6</v>
      </c>
      <c r="I28" s="20">
        <v>0</v>
      </c>
      <c r="J28" s="20">
        <v>0</v>
      </c>
      <c r="K28" s="20">
        <v>52287.76</v>
      </c>
      <c r="L28" s="20">
        <v>964.0079594796595</v>
      </c>
      <c r="M28" s="20">
        <v>123.84</v>
      </c>
      <c r="N28" s="20">
        <v>28862.112</v>
      </c>
      <c r="O28" s="20">
        <f t="shared" si="2"/>
        <v>145672.9530546222</v>
      </c>
      <c r="P28" s="22">
        <f t="shared" si="1"/>
        <v>93149.9530546222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27170.60087776903</v>
      </c>
      <c r="F29" s="25">
        <v>21691.29051364513</v>
      </c>
      <c r="G29" s="25">
        <v>10962.93755722016</v>
      </c>
      <c r="H29" s="25">
        <v>4633.6</v>
      </c>
      <c r="I29" s="25">
        <v>0</v>
      </c>
      <c r="J29" s="25">
        <v>0</v>
      </c>
      <c r="K29" s="25">
        <v>52287.76</v>
      </c>
      <c r="L29" s="25">
        <v>980.7457174736317</v>
      </c>
      <c r="M29" s="25">
        <v>123.84</v>
      </c>
      <c r="N29" s="25">
        <v>28862.112</v>
      </c>
      <c r="O29" s="25">
        <f t="shared" si="2"/>
        <v>146712.88666610795</v>
      </c>
      <c r="P29" s="26">
        <f t="shared" si="1"/>
        <v>94189.88666610795</v>
      </c>
    </row>
    <row r="30" spans="1:16" ht="12.75">
      <c r="A30" s="60" t="s">
        <v>46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58" t="s">
        <v>63</v>
      </c>
      <c r="N30" s="57"/>
      <c r="O30" s="57"/>
      <c r="P30" s="59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-1929263.5139326626</v>
      </c>
      <c r="L32" s="53"/>
      <c r="M32" s="52">
        <f>NPV(M31,P5:P29)</f>
        <v>-1980207.536441112</v>
      </c>
      <c r="N32" s="53"/>
      <c r="O32" s="52">
        <f>NPV(O31,P5:P29)</f>
        <v>-2009530.4778729877</v>
      </c>
      <c r="P32" s="77"/>
    </row>
  </sheetData>
  <mergeCells count="15">
    <mergeCell ref="M30:P30"/>
    <mergeCell ref="I32:J32"/>
    <mergeCell ref="K32:L32"/>
    <mergeCell ref="I31:J31"/>
    <mergeCell ref="I30:L30"/>
    <mergeCell ref="E2:O2"/>
    <mergeCell ref="P2:P3"/>
    <mergeCell ref="O31:P31"/>
    <mergeCell ref="M31:N31"/>
    <mergeCell ref="K31:L31"/>
    <mergeCell ref="A30:H32"/>
    <mergeCell ref="M32:N32"/>
    <mergeCell ref="O32:P32"/>
    <mergeCell ref="B2:D2"/>
    <mergeCell ref="A2:A3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0">
      <selection activeCell="J40" sqref="J40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85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f>'Fund Requirement '!F25</f>
        <v>106270.024420824</v>
      </c>
      <c r="C5" s="19">
        <v>0</v>
      </c>
      <c r="D5" s="20">
        <f aca="true" t="shared" si="0" ref="D5:D29">C5+B5</f>
        <v>106270.024420824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-106270.024420824</v>
      </c>
    </row>
    <row r="6" spans="1:16" ht="12.75">
      <c r="A6" s="21">
        <v>2006</v>
      </c>
      <c r="B6" s="20">
        <f>'Fund Requirement '!I25</f>
        <v>138959.51955754837</v>
      </c>
      <c r="C6" s="19">
        <v>0</v>
      </c>
      <c r="D6" s="20">
        <f t="shared" si="0"/>
        <v>138959.51955754837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-138959.51955754837</v>
      </c>
    </row>
    <row r="7" spans="1:16" ht="12.75">
      <c r="A7" s="21">
        <v>2007</v>
      </c>
      <c r="B7" s="20">
        <f>'Fund Requirement '!L25</f>
        <v>844326.3608494364</v>
      </c>
      <c r="C7" s="19">
        <v>0</v>
      </c>
      <c r="D7" s="20">
        <f t="shared" si="0"/>
        <v>844326.3608494364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-844326.3608494364</v>
      </c>
    </row>
    <row r="8" spans="1:16" ht="12.75">
      <c r="A8" s="21">
        <v>2008</v>
      </c>
      <c r="B8" s="20">
        <f>'Fund Requirement '!O25</f>
        <v>1034371.9017490881</v>
      </c>
      <c r="C8" s="19">
        <v>0</v>
      </c>
      <c r="D8" s="20">
        <f t="shared" si="0"/>
        <v>1034371.9017490881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-1034371.9017490881</v>
      </c>
    </row>
    <row r="9" spans="1:16" ht="12.75">
      <c r="A9" s="21">
        <v>2009</v>
      </c>
      <c r="B9" s="20">
        <f>'Fund Requirement '!R25</f>
        <v>1315684.1515549563</v>
      </c>
      <c r="C9" s="19">
        <v>0</v>
      </c>
      <c r="D9" s="20">
        <f t="shared" si="0"/>
        <v>1315684.1515549563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-1315684.1515549563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21731.3825976</v>
      </c>
      <c r="F10" s="20">
        <v>19517.582707200003</v>
      </c>
      <c r="G10" s="20">
        <v>8757.36</v>
      </c>
      <c r="H10" s="20">
        <v>5212.8</v>
      </c>
      <c r="I10" s="20">
        <v>0</v>
      </c>
      <c r="J10" s="20">
        <v>0</v>
      </c>
      <c r="K10" s="20">
        <v>58823.73</v>
      </c>
      <c r="L10" s="20">
        <v>784.4125536</v>
      </c>
      <c r="M10" s="20">
        <v>139.32</v>
      </c>
      <c r="N10" s="20">
        <v>32469.876</v>
      </c>
      <c r="O10" s="20">
        <f aca="true" t="shared" si="2" ref="O10:O29">SUM(E10:N10)</f>
        <v>147436.4638584</v>
      </c>
      <c r="P10" s="22">
        <f t="shared" si="1"/>
        <v>94913.4638584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22147.213747597365</v>
      </c>
      <c r="F11" s="20">
        <v>19891.05267975481</v>
      </c>
      <c r="G11" s="20">
        <v>8923.292609016116</v>
      </c>
      <c r="H11" s="20">
        <v>5212.8</v>
      </c>
      <c r="I11" s="20">
        <v>0</v>
      </c>
      <c r="J11" s="20">
        <v>0</v>
      </c>
      <c r="K11" s="20">
        <v>58823.73</v>
      </c>
      <c r="L11" s="20">
        <v>799.422329106501</v>
      </c>
      <c r="M11" s="20">
        <v>139.32</v>
      </c>
      <c r="N11" s="20">
        <v>32469.876</v>
      </c>
      <c r="O11" s="20">
        <f t="shared" si="2"/>
        <v>148406.7073654748</v>
      </c>
      <c r="P11" s="22">
        <f t="shared" si="1"/>
        <v>95883.70736547481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22571.00584414103</v>
      </c>
      <c r="F12" s="20">
        <v>20271.672608459307</v>
      </c>
      <c r="G12" s="20">
        <v>9092.369274087356</v>
      </c>
      <c r="H12" s="20">
        <v>5212.8</v>
      </c>
      <c r="I12" s="20">
        <v>0</v>
      </c>
      <c r="J12" s="20">
        <v>0</v>
      </c>
      <c r="K12" s="20">
        <v>58823.73</v>
      </c>
      <c r="L12" s="20">
        <v>814.719461682043</v>
      </c>
      <c r="M12" s="20">
        <v>139.32</v>
      </c>
      <c r="N12" s="20">
        <v>32469.876</v>
      </c>
      <c r="O12" s="20">
        <f t="shared" si="2"/>
        <v>149395.49318836973</v>
      </c>
      <c r="P12" s="22">
        <f t="shared" si="1"/>
        <v>96872.49318836973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23002.911375497504</v>
      </c>
      <c r="F13" s="20">
        <v>20659.57944743227</v>
      </c>
      <c r="G13" s="20">
        <v>9264.64956812429</v>
      </c>
      <c r="H13" s="20">
        <v>5212.8</v>
      </c>
      <c r="I13" s="20">
        <v>0</v>
      </c>
      <c r="J13" s="20">
        <v>0</v>
      </c>
      <c r="K13" s="20">
        <v>58823.73</v>
      </c>
      <c r="L13" s="20">
        <v>830.3094555190073</v>
      </c>
      <c r="M13" s="20">
        <v>139.32</v>
      </c>
      <c r="N13" s="20">
        <v>32469.876</v>
      </c>
      <c r="O13" s="20">
        <f t="shared" si="2"/>
        <v>150403.17584657308</v>
      </c>
      <c r="P13" s="22">
        <f t="shared" si="1"/>
        <v>97880.17584657308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23443.08575232291</v>
      </c>
      <c r="F14" s="20">
        <v>21054.912775475044</v>
      </c>
      <c r="G14" s="20">
        <v>9440.194192812425</v>
      </c>
      <c r="H14" s="20">
        <v>5212.8</v>
      </c>
      <c r="I14" s="20">
        <v>0</v>
      </c>
      <c r="J14" s="20">
        <v>0</v>
      </c>
      <c r="K14" s="20">
        <v>58823.73</v>
      </c>
      <c r="L14" s="20">
        <v>846.1979202958887</v>
      </c>
      <c r="M14" s="20">
        <v>139.32</v>
      </c>
      <c r="N14" s="20">
        <v>32469.876</v>
      </c>
      <c r="O14" s="20">
        <f t="shared" si="2"/>
        <v>151430.1166409063</v>
      </c>
      <c r="P14" s="22">
        <f t="shared" si="1"/>
        <v>98907.11664090629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23891.6873637</v>
      </c>
      <c r="F15" s="20">
        <v>21457.8148464</v>
      </c>
      <c r="G15" s="20">
        <v>9619.065</v>
      </c>
      <c r="H15" s="20">
        <v>5212.8</v>
      </c>
      <c r="I15" s="20">
        <v>0</v>
      </c>
      <c r="J15" s="20">
        <v>0</v>
      </c>
      <c r="K15" s="20">
        <v>58823.73</v>
      </c>
      <c r="L15" s="20">
        <v>862.3905732</v>
      </c>
      <c r="M15" s="20">
        <v>139.32</v>
      </c>
      <c r="N15" s="20">
        <v>32469.876</v>
      </c>
      <c r="O15" s="20">
        <f t="shared" si="2"/>
        <v>152476.68378330002</v>
      </c>
      <c r="P15" s="22">
        <f t="shared" si="1"/>
        <v>99953.68378330002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24332.82159698098</v>
      </c>
      <c r="F16" s="20">
        <v>21854.01024926358</v>
      </c>
      <c r="G16" s="20">
        <v>9797.287284969238</v>
      </c>
      <c r="H16" s="20">
        <v>5212.8</v>
      </c>
      <c r="I16" s="20">
        <v>0</v>
      </c>
      <c r="J16" s="20">
        <v>0</v>
      </c>
      <c r="K16" s="20">
        <v>58823.73</v>
      </c>
      <c r="L16" s="20">
        <v>878.3136848038849</v>
      </c>
      <c r="M16" s="20">
        <v>139.32</v>
      </c>
      <c r="N16" s="20">
        <v>32469.876</v>
      </c>
      <c r="O16" s="20">
        <f t="shared" si="2"/>
        <v>153508.1588160177</v>
      </c>
      <c r="P16" s="22">
        <f t="shared" si="1"/>
        <v>100985.1588160177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24782.100900349007</v>
      </c>
      <c r="F17" s="20">
        <v>22257.520974949628</v>
      </c>
      <c r="G17" s="20">
        <v>9978.811677041362</v>
      </c>
      <c r="H17" s="20">
        <v>5212.8</v>
      </c>
      <c r="I17" s="20">
        <v>0</v>
      </c>
      <c r="J17" s="20">
        <v>0</v>
      </c>
      <c r="K17" s="20">
        <v>58823.73</v>
      </c>
      <c r="L17" s="20">
        <v>894.5307995710543</v>
      </c>
      <c r="M17" s="20">
        <v>139.32</v>
      </c>
      <c r="N17" s="20">
        <v>32469.876</v>
      </c>
      <c r="O17" s="20">
        <f t="shared" si="2"/>
        <v>154558.69035191106</v>
      </c>
      <c r="P17" s="22">
        <f t="shared" si="1"/>
        <v>102035.69035191106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25239.67566382355</v>
      </c>
      <c r="F18" s="20">
        <v>22668.48209308061</v>
      </c>
      <c r="G18" s="20">
        <v>10163.699357742138</v>
      </c>
      <c r="H18" s="20">
        <v>5212.8</v>
      </c>
      <c r="I18" s="20">
        <v>0</v>
      </c>
      <c r="J18" s="20">
        <v>0</v>
      </c>
      <c r="K18" s="20">
        <v>58823.73</v>
      </c>
      <c r="L18" s="20">
        <v>911.0473459558951</v>
      </c>
      <c r="M18" s="20">
        <v>139.32</v>
      </c>
      <c r="N18" s="20">
        <v>32469.876</v>
      </c>
      <c r="O18" s="20">
        <f t="shared" si="2"/>
        <v>155628.6304606022</v>
      </c>
      <c r="P18" s="22">
        <f t="shared" si="1"/>
        <v>103105.6304606022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25705.699054215966</v>
      </c>
      <c r="F19" s="20">
        <v>23087.031167196044</v>
      </c>
      <c r="G19" s="20">
        <v>10352.012642170213</v>
      </c>
      <c r="H19" s="20">
        <v>5212.8</v>
      </c>
      <c r="I19" s="20">
        <v>0</v>
      </c>
      <c r="J19" s="20">
        <v>0</v>
      </c>
      <c r="K19" s="20">
        <v>58823.73</v>
      </c>
      <c r="L19" s="20">
        <v>927.8688526434363</v>
      </c>
      <c r="M19" s="20">
        <v>139.32</v>
      </c>
      <c r="N19" s="20">
        <v>32469.876</v>
      </c>
      <c r="O19" s="20">
        <f t="shared" si="2"/>
        <v>156718.33771622568</v>
      </c>
      <c r="P19" s="22">
        <f t="shared" si="1"/>
        <v>104195.33771622568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26180.327066399997</v>
      </c>
      <c r="F20" s="20">
        <v>23513.308300800003</v>
      </c>
      <c r="G20" s="20">
        <v>10543.815</v>
      </c>
      <c r="H20" s="20">
        <v>5212.8</v>
      </c>
      <c r="I20" s="20">
        <v>0</v>
      </c>
      <c r="J20" s="20">
        <v>0</v>
      </c>
      <c r="K20" s="20">
        <v>58823.73</v>
      </c>
      <c r="L20" s="20">
        <v>945.0009504000001</v>
      </c>
      <c r="M20" s="20">
        <v>139.32</v>
      </c>
      <c r="N20" s="20">
        <v>32469.876</v>
      </c>
      <c r="O20" s="20">
        <f t="shared" si="2"/>
        <v>157828.17731760003</v>
      </c>
      <c r="P20" s="22">
        <f t="shared" si="1"/>
        <v>105305.17731760003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26634.812464941104</v>
      </c>
      <c r="F21" s="20">
        <v>23921.494771007398</v>
      </c>
      <c r="G21" s="20">
        <v>10729.078157864202</v>
      </c>
      <c r="H21" s="20">
        <v>5212.8</v>
      </c>
      <c r="I21" s="20">
        <v>0</v>
      </c>
      <c r="J21" s="20">
        <v>0</v>
      </c>
      <c r="K21" s="20">
        <v>58823.73</v>
      </c>
      <c r="L21" s="20">
        <v>961.405983556193</v>
      </c>
      <c r="M21" s="20">
        <v>139.32</v>
      </c>
      <c r="N21" s="20">
        <v>32469.876</v>
      </c>
      <c r="O21" s="20">
        <f t="shared" si="2"/>
        <v>158892.5173773689</v>
      </c>
      <c r="P21" s="22">
        <f t="shared" si="1"/>
        <v>106369.5173773689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27097.197223350402</v>
      </c>
      <c r="F22" s="20">
        <v>24336.775884589137</v>
      </c>
      <c r="G22" s="20">
        <v>10917.596535747138</v>
      </c>
      <c r="H22" s="20">
        <v>5212.8</v>
      </c>
      <c r="I22" s="20">
        <v>0</v>
      </c>
      <c r="J22" s="20">
        <v>0</v>
      </c>
      <c r="K22" s="20">
        <v>58823.73</v>
      </c>
      <c r="L22" s="20">
        <v>978.0961507584219</v>
      </c>
      <c r="M22" s="20">
        <v>139.32</v>
      </c>
      <c r="N22" s="20">
        <v>32469.876</v>
      </c>
      <c r="O22" s="20">
        <f t="shared" si="2"/>
        <v>159975.3917944451</v>
      </c>
      <c r="P22" s="22">
        <f t="shared" si="1"/>
        <v>107452.39179444511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27567.61879816318</v>
      </c>
      <c r="F23" s="20">
        <v>24759.275095231795</v>
      </c>
      <c r="G23" s="20">
        <v>11109.427330435754</v>
      </c>
      <c r="H23" s="20">
        <v>5212.8</v>
      </c>
      <c r="I23" s="20">
        <v>0</v>
      </c>
      <c r="J23" s="20">
        <v>0</v>
      </c>
      <c r="K23" s="20">
        <v>58823.73</v>
      </c>
      <c r="L23" s="20">
        <v>995.0764136160726</v>
      </c>
      <c r="M23" s="20">
        <v>139.32</v>
      </c>
      <c r="N23" s="20">
        <v>32469.876</v>
      </c>
      <c r="O23" s="20">
        <f t="shared" si="2"/>
        <v>161077.1236374468</v>
      </c>
      <c r="P23" s="22">
        <f t="shared" si="1"/>
        <v>108554.12363744681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28046.21704041552</v>
      </c>
      <c r="F24" s="20">
        <v>25189.11800719232</v>
      </c>
      <c r="G24" s="20">
        <v>11304.628743709736</v>
      </c>
      <c r="H24" s="20">
        <v>5212.8</v>
      </c>
      <c r="I24" s="20">
        <v>0</v>
      </c>
      <c r="J24" s="20">
        <v>0</v>
      </c>
      <c r="K24" s="20">
        <v>58823.73</v>
      </c>
      <c r="L24" s="20">
        <v>1012.3518201700529</v>
      </c>
      <c r="M24" s="20">
        <v>139.32</v>
      </c>
      <c r="N24" s="20">
        <v>32469.876</v>
      </c>
      <c r="O24" s="20">
        <f t="shared" si="2"/>
        <v>162198.04161148763</v>
      </c>
      <c r="P24" s="22">
        <f t="shared" si="1"/>
        <v>109675.04161148763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28533.134237399998</v>
      </c>
      <c r="F25" s="20">
        <v>25626.4324128</v>
      </c>
      <c r="G25" s="20">
        <v>11503.26</v>
      </c>
      <c r="H25" s="20">
        <v>5212.8</v>
      </c>
      <c r="I25" s="20">
        <v>0</v>
      </c>
      <c r="J25" s="20">
        <v>0</v>
      </c>
      <c r="K25" s="20">
        <v>58823.73</v>
      </c>
      <c r="L25" s="20">
        <v>1029.9275064</v>
      </c>
      <c r="M25" s="20">
        <v>139.32</v>
      </c>
      <c r="N25" s="20">
        <v>32469.876</v>
      </c>
      <c r="O25" s="20">
        <f t="shared" si="2"/>
        <v>163338.4801566</v>
      </c>
      <c r="P25" s="22">
        <f t="shared" si="1"/>
        <v>110815.48015660001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29028.515155150206</v>
      </c>
      <c r="F26" s="20">
        <v>26071.348330613077</v>
      </c>
      <c r="G26" s="20">
        <v>11705.38136435749</v>
      </c>
      <c r="H26" s="20">
        <v>5212.8</v>
      </c>
      <c r="I26" s="20">
        <v>0</v>
      </c>
      <c r="J26" s="20">
        <v>0</v>
      </c>
      <c r="K26" s="20">
        <v>58823.73</v>
      </c>
      <c r="L26" s="20">
        <v>1047.8086977577952</v>
      </c>
      <c r="M26" s="20">
        <v>139.32</v>
      </c>
      <c r="N26" s="20">
        <v>32469.876</v>
      </c>
      <c r="O26" s="20">
        <f t="shared" si="2"/>
        <v>164498.77954787857</v>
      </c>
      <c r="P26" s="22">
        <f t="shared" si="1"/>
        <v>111975.77954787857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29532.50708166689</v>
      </c>
      <c r="F27" s="20">
        <v>26523.99804424136</v>
      </c>
      <c r="G27" s="20">
        <v>11911.054160737702</v>
      </c>
      <c r="H27" s="20">
        <v>5212.8</v>
      </c>
      <c r="I27" s="20">
        <v>0</v>
      </c>
      <c r="J27" s="20">
        <v>0</v>
      </c>
      <c r="K27" s="20">
        <v>58823.73</v>
      </c>
      <c r="L27" s="20">
        <v>1066.0007107278489</v>
      </c>
      <c r="M27" s="20">
        <v>139.32</v>
      </c>
      <c r="N27" s="20">
        <v>32469.876</v>
      </c>
      <c r="O27" s="20">
        <f t="shared" si="2"/>
        <v>165679.2859973738</v>
      </c>
      <c r="P27" s="22">
        <f t="shared" si="1"/>
        <v>113156.28599737381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30045.259870898604</v>
      </c>
      <c r="F28" s="20">
        <v>26984.516141846565</v>
      </c>
      <c r="G28" s="20">
        <v>12120.340790606475</v>
      </c>
      <c r="H28" s="20">
        <v>5212.8</v>
      </c>
      <c r="I28" s="20">
        <v>0</v>
      </c>
      <c r="J28" s="20">
        <v>0</v>
      </c>
      <c r="K28" s="20">
        <v>58823.73</v>
      </c>
      <c r="L28" s="20">
        <v>1084.508954414617</v>
      </c>
      <c r="M28" s="20">
        <v>139.32</v>
      </c>
      <c r="N28" s="20">
        <v>32469.876</v>
      </c>
      <c r="O28" s="20">
        <f t="shared" si="2"/>
        <v>166880.35175776624</v>
      </c>
      <c r="P28" s="22">
        <f t="shared" si="1"/>
        <v>114357.35175776624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30566.92598749016</v>
      </c>
      <c r="F29" s="25">
        <v>27453.03955633212</v>
      </c>
      <c r="G29" s="25">
        <v>12333.304751872682</v>
      </c>
      <c r="H29" s="25">
        <v>5212.8</v>
      </c>
      <c r="I29" s="25">
        <v>0</v>
      </c>
      <c r="J29" s="25">
        <v>0</v>
      </c>
      <c r="K29" s="25">
        <v>58823.73</v>
      </c>
      <c r="L29" s="25">
        <v>1103.3389321578356</v>
      </c>
      <c r="M29" s="25">
        <v>139.32</v>
      </c>
      <c r="N29" s="25">
        <v>32469.876</v>
      </c>
      <c r="O29" s="25">
        <f t="shared" si="2"/>
        <v>168102.3352278528</v>
      </c>
      <c r="P29" s="26">
        <f t="shared" si="1"/>
        <v>115579.3352278528</v>
      </c>
    </row>
    <row r="30" spans="1:16" ht="12.75">
      <c r="A30" s="60" t="s">
        <v>47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58" t="s">
        <v>63</v>
      </c>
      <c r="N30" s="57"/>
      <c r="O30" s="57"/>
      <c r="P30" s="59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-1637627.0891094105</v>
      </c>
      <c r="L32" s="53"/>
      <c r="M32" s="52">
        <f>NPV(M31,P5:P29)</f>
        <v>-1728156.1706341414</v>
      </c>
      <c r="N32" s="53"/>
      <c r="O32" s="52">
        <f>NPV(O31,P5:P29)</f>
        <v>-1790708.641403248</v>
      </c>
      <c r="P32" s="77"/>
    </row>
  </sheetData>
  <mergeCells count="15"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  <mergeCell ref="A30:H32"/>
    <mergeCell ref="P2:P3"/>
    <mergeCell ref="O31:P31"/>
    <mergeCell ref="M31:N31"/>
    <mergeCell ref="K31:L31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workbookViewId="0" topLeftCell="A1">
      <selection activeCell="H11" sqref="H11"/>
    </sheetView>
  </sheetViews>
  <sheetFormatPr defaultColWidth="9.140625" defaultRowHeight="12.75"/>
  <cols>
    <col min="1" max="1" width="6.140625" style="0" customWidth="1"/>
    <col min="2" max="2" width="37.421875" style="0" customWidth="1"/>
    <col min="3" max="3" width="8.8515625" style="0" customWidth="1"/>
    <col min="4" max="4" width="8.00390625" style="0" customWidth="1"/>
    <col min="5" max="6" width="7.421875" style="0" customWidth="1"/>
    <col min="7" max="7" width="8.00390625" style="0" customWidth="1"/>
    <col min="8" max="9" width="7.421875" style="0" customWidth="1"/>
    <col min="10" max="10" width="8.00390625" style="0" customWidth="1"/>
    <col min="11" max="12" width="7.421875" style="0" customWidth="1"/>
    <col min="13" max="13" width="8.00390625" style="0" customWidth="1"/>
    <col min="14" max="15" width="7.421875" style="0" customWidth="1"/>
    <col min="16" max="16" width="8.00390625" style="0" customWidth="1"/>
    <col min="17" max="18" width="7.421875" style="0" customWidth="1"/>
    <col min="20" max="20" width="10.140625" style="0" bestFit="1" customWidth="1"/>
  </cols>
  <sheetData>
    <row r="2" ht="12.75">
      <c r="C2" t="s">
        <v>20</v>
      </c>
    </row>
    <row r="3" ht="13.5" thickBot="1"/>
    <row r="4" spans="1:18" ht="12.75">
      <c r="A4" s="45" t="s">
        <v>10</v>
      </c>
      <c r="B4" s="46"/>
      <c r="C4" s="43" t="s">
        <v>17</v>
      </c>
      <c r="D4" s="41" t="s">
        <v>18</v>
      </c>
      <c r="E4" s="41"/>
      <c r="F4" s="41"/>
      <c r="G4" s="41" t="s">
        <v>18</v>
      </c>
      <c r="H4" s="41"/>
      <c r="I4" s="41"/>
      <c r="J4" s="41" t="s">
        <v>18</v>
      </c>
      <c r="K4" s="41"/>
      <c r="L4" s="41"/>
      <c r="M4" s="41" t="s">
        <v>18</v>
      </c>
      <c r="N4" s="41"/>
      <c r="O4" s="41"/>
      <c r="P4" s="41" t="s">
        <v>18</v>
      </c>
      <c r="Q4" s="41"/>
      <c r="R4" s="42"/>
    </row>
    <row r="5" spans="1:18" ht="12.75">
      <c r="A5" s="47"/>
      <c r="B5" s="48"/>
      <c r="C5" s="44"/>
      <c r="D5" s="49">
        <v>2005</v>
      </c>
      <c r="E5" s="49"/>
      <c r="F5" s="49"/>
      <c r="G5" s="49">
        <v>2006</v>
      </c>
      <c r="H5" s="49"/>
      <c r="I5" s="49"/>
      <c r="J5" s="49">
        <v>2007</v>
      </c>
      <c r="K5" s="49"/>
      <c r="L5" s="49"/>
      <c r="M5" s="49">
        <v>2008</v>
      </c>
      <c r="N5" s="49"/>
      <c r="O5" s="49"/>
      <c r="P5" s="49">
        <v>2009</v>
      </c>
      <c r="Q5" s="49"/>
      <c r="R5" s="50"/>
    </row>
    <row r="6" spans="1:18" ht="12.75">
      <c r="A6" s="47"/>
      <c r="B6" s="48"/>
      <c r="C6" s="44"/>
      <c r="D6" s="2" t="s">
        <v>13</v>
      </c>
      <c r="E6" s="2" t="s">
        <v>14</v>
      </c>
      <c r="F6" s="2" t="s">
        <v>15</v>
      </c>
      <c r="G6" s="2" t="s">
        <v>13</v>
      </c>
      <c r="H6" s="2" t="s">
        <v>14</v>
      </c>
      <c r="I6" s="2" t="s">
        <v>15</v>
      </c>
      <c r="J6" s="2" t="s">
        <v>13</v>
      </c>
      <c r="K6" s="2" t="s">
        <v>14</v>
      </c>
      <c r="L6" s="2" t="s">
        <v>15</v>
      </c>
      <c r="M6" s="2" t="s">
        <v>13</v>
      </c>
      <c r="N6" s="2" t="s">
        <v>14</v>
      </c>
      <c r="O6" s="2" t="s">
        <v>15</v>
      </c>
      <c r="P6" s="2" t="s">
        <v>13</v>
      </c>
      <c r="Q6" s="2" t="s">
        <v>14</v>
      </c>
      <c r="R6" s="10" t="s">
        <v>15</v>
      </c>
    </row>
    <row r="7" spans="1:18" ht="12.75">
      <c r="A7" s="5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1"/>
    </row>
    <row r="8" spans="1:18" ht="12.75">
      <c r="A8" s="5" t="s">
        <v>4</v>
      </c>
      <c r="B8" s="3" t="s">
        <v>19</v>
      </c>
      <c r="C8" s="8">
        <v>430500</v>
      </c>
      <c r="D8" s="31">
        <f>'Fund Requirement '!D8/'Fund Requirement '!$C8</f>
        <v>0</v>
      </c>
      <c r="E8" s="31">
        <f>'Fund Requirement '!E8/'Fund Requirement '!$C8</f>
        <v>0.5</v>
      </c>
      <c r="F8" s="31">
        <f>SUM(D8:E8)</f>
        <v>0.5</v>
      </c>
      <c r="G8" s="31">
        <f>'Fund Requirement '!G8/'Fund Requirement '!$C8</f>
        <v>0</v>
      </c>
      <c r="H8" s="31">
        <f>'Fund Requirement '!H8/'Fund Requirement '!$C8</f>
        <v>0.5</v>
      </c>
      <c r="I8" s="31">
        <f>SUM(G8:H8)</f>
        <v>0.5</v>
      </c>
      <c r="J8" s="31">
        <f>'Fund Requirement '!J8/'Fund Requirement '!$C8</f>
        <v>0</v>
      </c>
      <c r="K8" s="31">
        <f>'Fund Requirement '!K8/'Fund Requirement '!$C8</f>
        <v>0</v>
      </c>
      <c r="L8" s="31">
        <f>SUM(J8:K8)</f>
        <v>0</v>
      </c>
      <c r="M8" s="31">
        <f>'Fund Requirement '!M8/'Fund Requirement '!$C8</f>
        <v>0</v>
      </c>
      <c r="N8" s="31">
        <f>'Fund Requirement '!N8/'Fund Requirement '!$C8</f>
        <v>0</v>
      </c>
      <c r="O8" s="31">
        <f>SUM(M8:N8)</f>
        <v>0</v>
      </c>
      <c r="P8" s="31">
        <f>'Fund Requirement '!P8/'Fund Requirement '!$C8</f>
        <v>0</v>
      </c>
      <c r="Q8" s="31">
        <f>'Fund Requirement '!Q8/'Fund Requirement '!$C8</f>
        <v>0</v>
      </c>
      <c r="R8" s="31">
        <f>SUM(P8:Q8)</f>
        <v>0</v>
      </c>
    </row>
    <row r="9" spans="1:18" ht="12.75">
      <c r="A9" s="5"/>
      <c r="B9" s="3"/>
      <c r="C9" s="8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20" ht="12.75">
      <c r="A10" s="5" t="s">
        <v>5</v>
      </c>
      <c r="B10" s="3" t="s">
        <v>3</v>
      </c>
      <c r="C10" s="8">
        <f>SUM(C12:C17)</f>
        <v>1200221.7</v>
      </c>
      <c r="D10" s="31">
        <f>SUM(D12:D17)</f>
        <v>0</v>
      </c>
      <c r="E10" s="31">
        <f aca="true" t="shared" si="0" ref="E10:R10">SUM(E12:E17)</f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0.9772551062845116</v>
      </c>
      <c r="K10" s="31">
        <f t="shared" si="0"/>
        <v>0.7327448937154886</v>
      </c>
      <c r="L10" s="31">
        <f t="shared" si="0"/>
        <v>1.71</v>
      </c>
      <c r="M10" s="31">
        <f t="shared" si="0"/>
        <v>0.9226893258109301</v>
      </c>
      <c r="N10" s="31">
        <f t="shared" si="0"/>
        <v>0.65731067418907</v>
      </c>
      <c r="O10" s="31">
        <f t="shared" si="0"/>
        <v>1.58</v>
      </c>
      <c r="P10" s="31">
        <f t="shared" si="0"/>
        <v>1.7667040578708555</v>
      </c>
      <c r="Q10" s="31">
        <f t="shared" si="0"/>
        <v>0.9432959421291445</v>
      </c>
      <c r="R10" s="31">
        <f t="shared" si="0"/>
        <v>2.71</v>
      </c>
      <c r="T10" s="33">
        <f>R10+O10+L10+I10+F10</f>
        <v>6</v>
      </c>
    </row>
    <row r="11" spans="1:18" ht="12.75">
      <c r="A11" s="5"/>
      <c r="B11" s="3"/>
      <c r="C11" s="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20" ht="12.75">
      <c r="A12" s="6">
        <v>1</v>
      </c>
      <c r="B12" s="3" t="s">
        <v>0</v>
      </c>
      <c r="C12" s="8">
        <v>120000</v>
      </c>
      <c r="D12" s="31">
        <f>'Fund Requirement '!D12/'Fund Requirement '!$C12</f>
        <v>0</v>
      </c>
      <c r="E12" s="31">
        <f>'Fund Requirement '!E12/'Fund Requirement '!$C12</f>
        <v>0</v>
      </c>
      <c r="F12" s="31">
        <f aca="true" t="shared" si="1" ref="F12:F17">SUM(D12:E12)</f>
        <v>0</v>
      </c>
      <c r="G12" s="31">
        <f>'Fund Requirement '!G12/'Fund Requirement '!$C12</f>
        <v>0</v>
      </c>
      <c r="H12" s="31">
        <f>'Fund Requirement '!H12/'Fund Requirement '!$C12</f>
        <v>0</v>
      </c>
      <c r="I12" s="31">
        <f aca="true" t="shared" si="2" ref="I12:I17">SUM(G12:H12)</f>
        <v>0</v>
      </c>
      <c r="J12" s="31">
        <f>'Fund Requirement '!J12/'Fund Requirement '!$C12</f>
        <v>0.26007481035835733</v>
      </c>
      <c r="K12" s="31">
        <f>'Fund Requirement '!K12/'Fund Requirement '!$C12</f>
        <v>0.36992518964164267</v>
      </c>
      <c r="L12" s="31">
        <f aca="true" t="shared" si="3" ref="L12:L17">SUM(J12:K12)</f>
        <v>0.63</v>
      </c>
      <c r="M12" s="31">
        <f>'Fund Requirement '!M12/'Fund Requirement '!$C12</f>
        <v>0</v>
      </c>
      <c r="N12" s="31">
        <f>'Fund Requirement '!N12/'Fund Requirement '!$C12</f>
        <v>0.18</v>
      </c>
      <c r="O12" s="31">
        <f aca="true" t="shared" si="4" ref="O12:O17">SUM(M12:N12)</f>
        <v>0.18</v>
      </c>
      <c r="P12" s="31">
        <f>'Fund Requirement '!P12/'Fund Requirement '!$C12</f>
        <v>0</v>
      </c>
      <c r="Q12" s="31">
        <f>'Fund Requirement '!Q12/'Fund Requirement '!$C12</f>
        <v>0.19</v>
      </c>
      <c r="R12" s="31">
        <f aca="true" t="shared" si="5" ref="R12:R17">SUM(P12:Q12)</f>
        <v>0.19</v>
      </c>
      <c r="T12" s="33">
        <f aca="true" t="shared" si="6" ref="T12:T17">Q12+P12+N12+M12+K12+J12+H12+G12</f>
        <v>1</v>
      </c>
    </row>
    <row r="13" spans="1:20" ht="12.75">
      <c r="A13" s="6">
        <v>2</v>
      </c>
      <c r="B13" s="3" t="s">
        <v>1</v>
      </c>
      <c r="C13" s="8">
        <v>418377.5</v>
      </c>
      <c r="D13" s="31">
        <f>'Fund Requirement '!D13/'Fund Requirement '!$C13</f>
        <v>0</v>
      </c>
      <c r="E13" s="31">
        <f>'Fund Requirement '!E13/'Fund Requirement '!$C13</f>
        <v>0</v>
      </c>
      <c r="F13" s="31">
        <f t="shared" si="1"/>
        <v>0</v>
      </c>
      <c r="G13" s="31">
        <f>'Fund Requirement '!G13/'Fund Requirement '!$C13</f>
        <v>0</v>
      </c>
      <c r="H13" s="31">
        <f>'Fund Requirement '!H13/'Fund Requirement '!$C13</f>
        <v>0</v>
      </c>
      <c r="I13" s="31">
        <f t="shared" si="2"/>
        <v>0</v>
      </c>
      <c r="J13" s="31">
        <f>'Fund Requirement '!J13/'Fund Requirement '!$C13</f>
        <v>0.11967523220761216</v>
      </c>
      <c r="K13" s="31">
        <f>'Fund Requirement '!K13/'Fund Requirement '!$C13</f>
        <v>0.16032476779238788</v>
      </c>
      <c r="L13" s="31">
        <f t="shared" si="3"/>
        <v>0.28</v>
      </c>
      <c r="M13" s="31">
        <f>'Fund Requirement '!M13/'Fund Requirement '!$C13</f>
        <v>0.1481021345431321</v>
      </c>
      <c r="N13" s="31">
        <f>'Fund Requirement '!N13/'Fund Requirement '!$C13</f>
        <v>0.2218978654568679</v>
      </c>
      <c r="O13" s="31">
        <f t="shared" si="4"/>
        <v>0.37</v>
      </c>
      <c r="P13" s="31">
        <f>'Fund Requirement '!P13/'Fund Requirement '!$C13</f>
        <v>0.15163717648289138</v>
      </c>
      <c r="Q13" s="31">
        <f>'Fund Requirement '!Q13/'Fund Requirement '!$C13</f>
        <v>0.19836282351710863</v>
      </c>
      <c r="R13" s="31">
        <f t="shared" si="5"/>
        <v>0.35</v>
      </c>
      <c r="T13" s="33">
        <f t="shared" si="6"/>
        <v>1</v>
      </c>
    </row>
    <row r="14" spans="1:20" ht="12.75">
      <c r="A14" s="6">
        <v>3</v>
      </c>
      <c r="B14" s="3" t="s">
        <v>2</v>
      </c>
      <c r="C14" s="8">
        <v>220720.2</v>
      </c>
      <c r="D14" s="31">
        <f>'Fund Requirement '!D14/'Fund Requirement '!$C14</f>
        <v>0</v>
      </c>
      <c r="E14" s="31">
        <f>'Fund Requirement '!E14/'Fund Requirement '!$C14</f>
        <v>0</v>
      </c>
      <c r="F14" s="31">
        <f t="shared" si="1"/>
        <v>0</v>
      </c>
      <c r="G14" s="31">
        <f>'Fund Requirement '!G14/'Fund Requirement '!$C14</f>
        <v>0</v>
      </c>
      <c r="H14" s="31">
        <f>'Fund Requirement '!H14/'Fund Requirement '!$C14</f>
        <v>0</v>
      </c>
      <c r="I14" s="31">
        <f t="shared" si="2"/>
        <v>0</v>
      </c>
      <c r="J14" s="31">
        <f>'Fund Requirement '!J14/'Fund Requirement '!$C14</f>
        <v>0.09725995281843891</v>
      </c>
      <c r="K14" s="31">
        <f>'Fund Requirement '!K14/'Fund Requirement '!$C14</f>
        <v>0.10274004718156113</v>
      </c>
      <c r="L14" s="31">
        <f t="shared" si="3"/>
        <v>0.20000000000000004</v>
      </c>
      <c r="M14" s="31">
        <f>'Fund Requirement '!M14/'Fund Requirement '!$C14</f>
        <v>0.134539314346049</v>
      </c>
      <c r="N14" s="31">
        <f>'Fund Requirement '!N14/'Fund Requirement '!$C14</f>
        <v>0.13546068565395103</v>
      </c>
      <c r="O14" s="31">
        <f t="shared" si="4"/>
        <v>0.27</v>
      </c>
      <c r="P14" s="31">
        <f>'Fund Requirement '!P14/'Fund Requirement '!$C14</f>
        <v>0.25451307010012725</v>
      </c>
      <c r="Q14" s="31">
        <f>'Fund Requirement '!Q14/'Fund Requirement '!$C14</f>
        <v>0.2754869298998727</v>
      </c>
      <c r="R14" s="31">
        <f t="shared" si="5"/>
        <v>0.53</v>
      </c>
      <c r="T14" s="33">
        <f t="shared" si="6"/>
        <v>1</v>
      </c>
    </row>
    <row r="15" spans="1:20" ht="12.75">
      <c r="A15" s="6">
        <v>4</v>
      </c>
      <c r="B15" s="3" t="s">
        <v>7</v>
      </c>
      <c r="C15" s="8">
        <v>215000</v>
      </c>
      <c r="D15" s="31">
        <f>'Fund Requirement '!D15/'Fund Requirement '!$C15</f>
        <v>0</v>
      </c>
      <c r="E15" s="31">
        <f>'Fund Requirement '!E15/'Fund Requirement '!$C15</f>
        <v>0</v>
      </c>
      <c r="F15" s="31">
        <f t="shared" si="1"/>
        <v>0</v>
      </c>
      <c r="G15" s="31">
        <f>'Fund Requirement '!G15/'Fund Requirement '!$C15</f>
        <v>0</v>
      </c>
      <c r="H15" s="31">
        <f>'Fund Requirement '!H15/'Fund Requirement '!$C15</f>
        <v>0</v>
      </c>
      <c r="I15" s="31">
        <f t="shared" si="2"/>
        <v>0</v>
      </c>
      <c r="J15" s="31">
        <f>'Fund Requirement '!J15/'Fund Requirement '!$C15</f>
        <v>0.15272689113423082</v>
      </c>
      <c r="K15" s="31">
        <f>'Fund Requirement '!K15/'Fund Requirement '!$C15</f>
        <v>0.047273108865769194</v>
      </c>
      <c r="L15" s="31">
        <f t="shared" si="3"/>
        <v>0.2</v>
      </c>
      <c r="M15" s="31">
        <f>'Fund Requirement '!M15/'Fund Requirement '!$C15</f>
        <v>0.15271581137733714</v>
      </c>
      <c r="N15" s="31">
        <f>'Fund Requirement '!N15/'Fund Requirement '!$C15</f>
        <v>0.04728418862266287</v>
      </c>
      <c r="O15" s="31">
        <f t="shared" si="4"/>
        <v>0.2</v>
      </c>
      <c r="P15" s="31">
        <f>'Fund Requirement '!P15/'Fund Requirement '!$C15</f>
        <v>0.4581900488424731</v>
      </c>
      <c r="Q15" s="31">
        <f>'Fund Requirement '!Q15/'Fund Requirement '!$C15</f>
        <v>0.1418099511575269</v>
      </c>
      <c r="R15" s="31">
        <f t="shared" si="5"/>
        <v>0.6</v>
      </c>
      <c r="T15" s="33">
        <f t="shared" si="6"/>
        <v>1</v>
      </c>
    </row>
    <row r="16" spans="1:20" ht="12.75">
      <c r="A16" s="6">
        <v>5</v>
      </c>
      <c r="B16" s="3" t="s">
        <v>8</v>
      </c>
      <c r="C16" s="8">
        <v>31124</v>
      </c>
      <c r="D16" s="31">
        <f>'Fund Requirement '!D16/'Fund Requirement '!$C16</f>
        <v>0</v>
      </c>
      <c r="E16" s="31">
        <f>'Fund Requirement '!E16/'Fund Requirement '!$C16</f>
        <v>0</v>
      </c>
      <c r="F16" s="31">
        <f t="shared" si="1"/>
        <v>0</v>
      </c>
      <c r="G16" s="31">
        <f>'Fund Requirement '!G16/'Fund Requirement '!$C16</f>
        <v>0</v>
      </c>
      <c r="H16" s="31">
        <f>'Fund Requirement '!H16/'Fund Requirement '!$C16</f>
        <v>0</v>
      </c>
      <c r="I16" s="31">
        <f t="shared" si="2"/>
        <v>0</v>
      </c>
      <c r="J16" s="31">
        <f>'Fund Requirement '!J16/'Fund Requirement '!$C16</f>
        <v>0.18848779114770248</v>
      </c>
      <c r="K16" s="31">
        <f>'Fund Requirement '!K16/'Fund Requirement '!$C16</f>
        <v>0.011512208852297517</v>
      </c>
      <c r="L16" s="31">
        <f t="shared" si="3"/>
        <v>0.19999999999999998</v>
      </c>
      <c r="M16" s="31">
        <f>'Fund Requirement '!M16/'Fund Requirement '!$C16</f>
        <v>0.37698925109512166</v>
      </c>
      <c r="N16" s="31">
        <f>'Fund Requirement '!N16/'Fund Requirement '!$C16</f>
        <v>0.023010748904878354</v>
      </c>
      <c r="O16" s="31">
        <f t="shared" si="4"/>
        <v>0.4</v>
      </c>
      <c r="P16" s="31">
        <f>'Fund Requirement '!P16/'Fund Requirement '!$C16</f>
        <v>0.37698925109512166</v>
      </c>
      <c r="Q16" s="31">
        <f>'Fund Requirement '!Q16/'Fund Requirement '!$C16</f>
        <v>0.023010748904878354</v>
      </c>
      <c r="R16" s="31">
        <f t="shared" si="5"/>
        <v>0.4</v>
      </c>
      <c r="T16" s="33">
        <f t="shared" si="6"/>
        <v>1</v>
      </c>
    </row>
    <row r="17" spans="1:20" ht="12.75">
      <c r="A17" s="6">
        <v>6</v>
      </c>
      <c r="B17" s="3" t="s">
        <v>12</v>
      </c>
      <c r="C17" s="8">
        <v>195000</v>
      </c>
      <c r="D17" s="31">
        <f>'Fund Requirement '!D17/'Fund Requirement '!$C17</f>
        <v>0</v>
      </c>
      <c r="E17" s="31">
        <f>'Fund Requirement '!E17/'Fund Requirement '!$C17</f>
        <v>0</v>
      </c>
      <c r="F17" s="31">
        <f t="shared" si="1"/>
        <v>0</v>
      </c>
      <c r="G17" s="31">
        <f>'Fund Requirement '!G17/'Fund Requirement '!$C17</f>
        <v>0</v>
      </c>
      <c r="H17" s="31">
        <f>'Fund Requirement '!H17/'Fund Requirement '!$C17</f>
        <v>0</v>
      </c>
      <c r="I17" s="31">
        <f t="shared" si="2"/>
        <v>0</v>
      </c>
      <c r="J17" s="31">
        <f>'Fund Requirement '!J17/'Fund Requirement '!$C17</f>
        <v>0.1590304286181699</v>
      </c>
      <c r="K17" s="31">
        <f>'Fund Requirement '!K17/'Fund Requirement '!$C17</f>
        <v>0.04096957138183008</v>
      </c>
      <c r="L17" s="31">
        <f t="shared" si="3"/>
        <v>0.19999999999999998</v>
      </c>
      <c r="M17" s="31">
        <f>'Fund Requirement '!M17/'Fund Requirement '!$C17</f>
        <v>0.11034281444929023</v>
      </c>
      <c r="N17" s="31">
        <f>'Fund Requirement '!N17/'Fund Requirement '!$C17</f>
        <v>0.04965718555070979</v>
      </c>
      <c r="O17" s="31">
        <f t="shared" si="4"/>
        <v>0.16000000000000003</v>
      </c>
      <c r="P17" s="31">
        <f>'Fund Requirement '!P17/'Fund Requirement '!$C17</f>
        <v>0.525374511350242</v>
      </c>
      <c r="Q17" s="31">
        <f>'Fund Requirement '!Q17/'Fund Requirement '!$C17</f>
        <v>0.11462548864975791</v>
      </c>
      <c r="R17" s="31">
        <f t="shared" si="5"/>
        <v>0.6399999999999999</v>
      </c>
      <c r="T17" s="33">
        <f t="shared" si="6"/>
        <v>0.9999999999999998</v>
      </c>
    </row>
    <row r="18" spans="1:18" ht="12.75">
      <c r="A18" s="6"/>
      <c r="B18" s="3"/>
      <c r="C18" s="8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1:20" ht="12.75">
      <c r="A19" s="5" t="s">
        <v>6</v>
      </c>
      <c r="B19" s="4" t="s">
        <v>9</v>
      </c>
      <c r="C19" s="8">
        <v>180033.25499999998</v>
      </c>
      <c r="D19" s="31">
        <f>0.1</f>
        <v>0.1</v>
      </c>
      <c r="E19" s="31">
        <f aca="true" t="shared" si="7" ref="E19:R19">0.1</f>
        <v>0.1</v>
      </c>
      <c r="F19" s="31">
        <f t="shared" si="7"/>
        <v>0.1</v>
      </c>
      <c r="G19" s="31">
        <f t="shared" si="7"/>
        <v>0.1</v>
      </c>
      <c r="H19" s="31">
        <f t="shared" si="7"/>
        <v>0.1</v>
      </c>
      <c r="I19" s="31">
        <f t="shared" si="7"/>
        <v>0.1</v>
      </c>
      <c r="J19" s="31">
        <f t="shared" si="7"/>
        <v>0.1</v>
      </c>
      <c r="K19" s="31">
        <f t="shared" si="7"/>
        <v>0.1</v>
      </c>
      <c r="L19" s="31">
        <f t="shared" si="7"/>
        <v>0.1</v>
      </c>
      <c r="M19" s="31">
        <f t="shared" si="7"/>
        <v>0.1</v>
      </c>
      <c r="N19" s="31">
        <f t="shared" si="7"/>
        <v>0.1</v>
      </c>
      <c r="O19" s="31">
        <f t="shared" si="7"/>
        <v>0.1</v>
      </c>
      <c r="P19" s="31">
        <f t="shared" si="7"/>
        <v>0.1</v>
      </c>
      <c r="Q19" s="31">
        <f t="shared" si="7"/>
        <v>0.1</v>
      </c>
      <c r="R19" s="31">
        <f t="shared" si="7"/>
        <v>0.1</v>
      </c>
      <c r="T19" s="1"/>
    </row>
    <row r="20" spans="1:20" ht="12.75">
      <c r="A20" s="5"/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2"/>
      <c r="T20" s="1"/>
    </row>
    <row r="21" spans="1:18" ht="12.75">
      <c r="A21" s="13"/>
      <c r="B21" s="9" t="s">
        <v>16</v>
      </c>
      <c r="C21" s="8">
        <v>181075.4955</v>
      </c>
      <c r="D21" s="8">
        <v>4339.047344171773</v>
      </c>
      <c r="E21" s="8">
        <v>23307.08332582823</v>
      </c>
      <c r="F21" s="8">
        <v>27646.130670000002</v>
      </c>
      <c r="G21" s="8">
        <v>3409.8995593140203</v>
      </c>
      <c r="H21" s="8">
        <v>22435.89856068598</v>
      </c>
      <c r="I21" s="8">
        <v>25845.79812</v>
      </c>
      <c r="J21" s="8">
        <v>19805.061202648223</v>
      </c>
      <c r="K21" s="8">
        <v>15946.991387351778</v>
      </c>
      <c r="L21" s="8">
        <v>35752.05259</v>
      </c>
      <c r="M21" s="8">
        <v>18333.348173998398</v>
      </c>
      <c r="N21" s="8">
        <v>17171.623316001605</v>
      </c>
      <c r="O21" s="8">
        <v>35504.97148999999</v>
      </c>
      <c r="P21" s="8">
        <v>34084.01679710202</v>
      </c>
      <c r="Q21" s="8">
        <v>22242.525832897983</v>
      </c>
      <c r="R21" s="12">
        <v>56326.542629999996</v>
      </c>
    </row>
    <row r="22" spans="1:18" ht="12.75">
      <c r="A22" s="13"/>
      <c r="B22" s="9" t="s">
        <v>48</v>
      </c>
      <c r="C22" s="8"/>
      <c r="D22" s="8"/>
      <c r="E22" s="8">
        <f>1.1^2</f>
        <v>1.2100000000000002</v>
      </c>
      <c r="F22" s="8"/>
      <c r="G22" s="8"/>
      <c r="H22" s="8">
        <f>1.1^3</f>
        <v>1.3310000000000004</v>
      </c>
      <c r="I22" s="8"/>
      <c r="J22" s="8"/>
      <c r="K22" s="8">
        <f>1.1^4</f>
        <v>1.4641000000000004</v>
      </c>
      <c r="L22" s="8"/>
      <c r="M22" s="8"/>
      <c r="N22" s="8">
        <f>1.1^5</f>
        <v>1.6105100000000006</v>
      </c>
      <c r="O22" s="8"/>
      <c r="P22" s="8"/>
      <c r="Q22" s="8">
        <f>1.1^6</f>
        <v>1.7715610000000008</v>
      </c>
      <c r="R22" s="12"/>
    </row>
    <row r="23" spans="1:18" ht="12.75">
      <c r="A23" s="13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2"/>
    </row>
    <row r="24" spans="1:18" ht="12.75">
      <c r="A24" s="13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2"/>
    </row>
    <row r="25" spans="1:20" ht="13.5" thickBot="1">
      <c r="A25" s="14"/>
      <c r="B25" s="15" t="s">
        <v>11</v>
      </c>
      <c r="C25" s="16">
        <f>C21+C19+C10+C8</f>
        <v>1991830.4504999998</v>
      </c>
      <c r="D25" s="16">
        <v>47729.5207858895</v>
      </c>
      <c r="E25" s="16">
        <v>256377.9165841105</v>
      </c>
      <c r="F25" s="16">
        <v>304107.43737</v>
      </c>
      <c r="G25" s="16">
        <v>37508.89515245422</v>
      </c>
      <c r="H25" s="16">
        <v>246794.88416754577</v>
      </c>
      <c r="I25" s="16">
        <v>284303.77932</v>
      </c>
      <c r="J25" s="16">
        <v>217855.67322913045</v>
      </c>
      <c r="K25" s="16">
        <v>175416.90526086953</v>
      </c>
      <c r="L25" s="16">
        <v>393272.57849</v>
      </c>
      <c r="M25" s="16">
        <v>201666.8299139824</v>
      </c>
      <c r="N25" s="16">
        <v>188887.85647601762</v>
      </c>
      <c r="O25" s="16">
        <v>390554.68638999993</v>
      </c>
      <c r="P25" s="16">
        <v>374924.1847681222</v>
      </c>
      <c r="Q25" s="16">
        <v>244667.78416187782</v>
      </c>
      <c r="R25" s="17">
        <v>619591.96893</v>
      </c>
      <c r="T25" s="18"/>
    </row>
    <row r="31" ht="12.75">
      <c r="C31" s="1"/>
    </row>
  </sheetData>
  <mergeCells count="12">
    <mergeCell ref="M4:O4"/>
    <mergeCell ref="P4:R4"/>
    <mergeCell ref="C4:C6"/>
    <mergeCell ref="A4:B6"/>
    <mergeCell ref="M5:O5"/>
    <mergeCell ref="P5:R5"/>
    <mergeCell ref="D5:F5"/>
    <mergeCell ref="G5:I5"/>
    <mergeCell ref="J5:L5"/>
    <mergeCell ref="D4:F4"/>
    <mergeCell ref="G4:I4"/>
    <mergeCell ref="J4:L4"/>
  </mergeCells>
  <printOptions horizontalCentered="1" verticalCentered="1"/>
  <pageMargins left="0.75" right="0.75" top="1.25" bottom="1" header="0.5" footer="0.5"/>
  <pageSetup fitToHeight="1" fitToWidth="1"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workbookViewId="0" topLeftCell="A1">
      <selection activeCell="J12" sqref="J12"/>
    </sheetView>
  </sheetViews>
  <sheetFormatPr defaultColWidth="9.140625" defaultRowHeight="12.75"/>
  <cols>
    <col min="1" max="1" width="6.140625" style="0" customWidth="1"/>
    <col min="2" max="2" width="37.421875" style="0" customWidth="1"/>
    <col min="3" max="3" width="8.8515625" style="0" customWidth="1"/>
    <col min="4" max="4" width="8.00390625" style="0" customWidth="1"/>
    <col min="5" max="6" width="7.421875" style="0" customWidth="1"/>
    <col min="7" max="7" width="8.00390625" style="0" customWidth="1"/>
    <col min="8" max="9" width="7.421875" style="0" customWidth="1"/>
    <col min="10" max="10" width="8.00390625" style="0" customWidth="1"/>
    <col min="11" max="12" width="7.421875" style="0" customWidth="1"/>
    <col min="13" max="13" width="8.00390625" style="0" customWidth="1"/>
    <col min="14" max="15" width="7.421875" style="0" customWidth="1"/>
    <col min="16" max="16" width="8.00390625" style="0" customWidth="1"/>
    <col min="17" max="18" width="7.421875" style="0" customWidth="1"/>
    <col min="20" max="20" width="10.140625" style="0" bestFit="1" customWidth="1"/>
  </cols>
  <sheetData>
    <row r="2" ht="12.75">
      <c r="C2" t="s">
        <v>20</v>
      </c>
    </row>
    <row r="3" ht="13.5" thickBot="1"/>
    <row r="4" spans="1:18" ht="12.75">
      <c r="A4" s="45" t="s">
        <v>10</v>
      </c>
      <c r="B4" s="46"/>
      <c r="C4" s="43" t="s">
        <v>17</v>
      </c>
      <c r="D4" s="41" t="s">
        <v>18</v>
      </c>
      <c r="E4" s="41"/>
      <c r="F4" s="41"/>
      <c r="G4" s="41" t="s">
        <v>18</v>
      </c>
      <c r="H4" s="41"/>
      <c r="I4" s="41"/>
      <c r="J4" s="41" t="s">
        <v>18</v>
      </c>
      <c r="K4" s="41"/>
      <c r="L4" s="41"/>
      <c r="M4" s="41" t="s">
        <v>18</v>
      </c>
      <c r="N4" s="41"/>
      <c r="O4" s="41"/>
      <c r="P4" s="41" t="s">
        <v>18</v>
      </c>
      <c r="Q4" s="41"/>
      <c r="R4" s="42"/>
    </row>
    <row r="5" spans="1:18" ht="12.75">
      <c r="A5" s="47"/>
      <c r="B5" s="48"/>
      <c r="C5" s="44"/>
      <c r="D5" s="49">
        <v>2005</v>
      </c>
      <c r="E5" s="49"/>
      <c r="F5" s="49"/>
      <c r="G5" s="49">
        <v>2006</v>
      </c>
      <c r="H5" s="49"/>
      <c r="I5" s="49"/>
      <c r="J5" s="49">
        <v>2007</v>
      </c>
      <c r="K5" s="49"/>
      <c r="L5" s="49"/>
      <c r="M5" s="49">
        <v>2008</v>
      </c>
      <c r="N5" s="49"/>
      <c r="O5" s="49"/>
      <c r="P5" s="49">
        <v>2009</v>
      </c>
      <c r="Q5" s="49"/>
      <c r="R5" s="50"/>
    </row>
    <row r="6" spans="1:18" ht="12.75">
      <c r="A6" s="47"/>
      <c r="B6" s="48"/>
      <c r="C6" s="44"/>
      <c r="D6" s="2" t="s">
        <v>13</v>
      </c>
      <c r="E6" s="2" t="s">
        <v>14</v>
      </c>
      <c r="F6" s="2" t="s">
        <v>15</v>
      </c>
      <c r="G6" s="2" t="s">
        <v>13</v>
      </c>
      <c r="H6" s="2" t="s">
        <v>14</v>
      </c>
      <c r="I6" s="2" t="s">
        <v>15</v>
      </c>
      <c r="J6" s="2" t="s">
        <v>13</v>
      </c>
      <c r="K6" s="2" t="s">
        <v>14</v>
      </c>
      <c r="L6" s="2" t="s">
        <v>15</v>
      </c>
      <c r="M6" s="2" t="s">
        <v>13</v>
      </c>
      <c r="N6" s="2" t="s">
        <v>14</v>
      </c>
      <c r="O6" s="2" t="s">
        <v>15</v>
      </c>
      <c r="P6" s="2" t="s">
        <v>13</v>
      </c>
      <c r="Q6" s="2" t="s">
        <v>14</v>
      </c>
      <c r="R6" s="10" t="s">
        <v>15</v>
      </c>
    </row>
    <row r="7" spans="1:18" ht="12.75">
      <c r="A7" s="5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1"/>
    </row>
    <row r="8" spans="1:18" ht="12.75">
      <c r="A8" s="5" t="s">
        <v>4</v>
      </c>
      <c r="B8" s="3" t="s">
        <v>19</v>
      </c>
      <c r="C8" s="8">
        <v>430500</v>
      </c>
      <c r="D8" s="31">
        <v>0</v>
      </c>
      <c r="E8" s="31">
        <v>0.5</v>
      </c>
      <c r="F8" s="31">
        <v>0.5</v>
      </c>
      <c r="G8" s="31">
        <v>0</v>
      </c>
      <c r="H8" s="31">
        <v>0.5</v>
      </c>
      <c r="I8" s="31">
        <v>0.5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</row>
    <row r="9" spans="1:18" ht="12.75">
      <c r="A9" s="5"/>
      <c r="B9" s="3"/>
      <c r="C9" s="8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20" ht="12.75">
      <c r="A10" s="5" t="s">
        <v>5</v>
      </c>
      <c r="B10" s="3" t="s">
        <v>3</v>
      </c>
      <c r="C10" s="8">
        <v>1200221.7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0.9772551062845116</v>
      </c>
      <c r="K10" s="31">
        <v>0.7327448937154886</v>
      </c>
      <c r="L10" s="31">
        <v>1.71</v>
      </c>
      <c r="M10" s="31">
        <v>0.9226893258109301</v>
      </c>
      <c r="N10" s="31">
        <v>0.65731067418907</v>
      </c>
      <c r="O10" s="31">
        <v>1.58</v>
      </c>
      <c r="P10" s="31">
        <v>1.7667040578708555</v>
      </c>
      <c r="Q10" s="31">
        <v>0.9432959421291445</v>
      </c>
      <c r="R10" s="31">
        <v>2.71</v>
      </c>
      <c r="T10" s="33">
        <f>R10+O10+L10+I10+F10</f>
        <v>6</v>
      </c>
    </row>
    <row r="11" spans="1:18" ht="12.75">
      <c r="A11" s="5"/>
      <c r="B11" s="3"/>
      <c r="C11" s="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20" ht="12.75">
      <c r="A12" s="6">
        <v>1</v>
      </c>
      <c r="B12" s="3" t="s">
        <v>0</v>
      </c>
      <c r="C12" s="8">
        <v>120000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0.26007481035835733</v>
      </c>
      <c r="K12" s="31">
        <v>0.36992518964164267</v>
      </c>
      <c r="L12" s="31">
        <v>0.63</v>
      </c>
      <c r="M12" s="31">
        <v>0</v>
      </c>
      <c r="N12" s="31">
        <v>0.18</v>
      </c>
      <c r="O12" s="31">
        <v>0.18</v>
      </c>
      <c r="P12" s="31">
        <v>0</v>
      </c>
      <c r="Q12" s="31">
        <v>0.19</v>
      </c>
      <c r="R12" s="31">
        <v>0.19</v>
      </c>
      <c r="T12" s="33">
        <f aca="true" t="shared" si="0" ref="T12:T17">Q12+P12+N12+M12+K12+J12+H12+G12</f>
        <v>1</v>
      </c>
    </row>
    <row r="13" spans="1:20" ht="12.75">
      <c r="A13" s="6">
        <v>2</v>
      </c>
      <c r="B13" s="3" t="s">
        <v>1</v>
      </c>
      <c r="C13" s="8">
        <v>418377.5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0.11967523220761216</v>
      </c>
      <c r="K13" s="31">
        <v>0.16032476779238788</v>
      </c>
      <c r="L13" s="31">
        <v>0.28</v>
      </c>
      <c r="M13" s="31">
        <v>0.1481021345431321</v>
      </c>
      <c r="N13" s="31">
        <v>0.2218978654568679</v>
      </c>
      <c r="O13" s="31">
        <v>0.37</v>
      </c>
      <c r="P13" s="31">
        <v>0.15163717648289138</v>
      </c>
      <c r="Q13" s="31">
        <v>0.19836282351710863</v>
      </c>
      <c r="R13" s="31">
        <v>0.35</v>
      </c>
      <c r="T13" s="33">
        <f t="shared" si="0"/>
        <v>1</v>
      </c>
    </row>
    <row r="14" spans="1:20" ht="12.75">
      <c r="A14" s="6">
        <v>3</v>
      </c>
      <c r="B14" s="3" t="s">
        <v>2</v>
      </c>
      <c r="C14" s="8">
        <v>220720.2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0.09725995281843891</v>
      </c>
      <c r="K14" s="31">
        <v>0.10274004718156111</v>
      </c>
      <c r="L14" s="31">
        <v>0.2</v>
      </c>
      <c r="M14" s="31">
        <v>0.134539314346049</v>
      </c>
      <c r="N14" s="31">
        <v>0.13546068565395103</v>
      </c>
      <c r="O14" s="31">
        <v>0.27</v>
      </c>
      <c r="P14" s="31">
        <v>0.25451307010012725</v>
      </c>
      <c r="Q14" s="31">
        <v>0.2754869298998727</v>
      </c>
      <c r="R14" s="31">
        <v>0.53</v>
      </c>
      <c r="T14" s="33">
        <f t="shared" si="0"/>
        <v>1</v>
      </c>
    </row>
    <row r="15" spans="1:20" ht="12.75">
      <c r="A15" s="6">
        <v>4</v>
      </c>
      <c r="B15" s="3" t="s">
        <v>7</v>
      </c>
      <c r="C15" s="8">
        <v>215000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0.15272689113423082</v>
      </c>
      <c r="K15" s="31">
        <v>0.047273108865769194</v>
      </c>
      <c r="L15" s="31">
        <v>0.2</v>
      </c>
      <c r="M15" s="31">
        <v>0.15271581137733714</v>
      </c>
      <c r="N15" s="31">
        <v>0.04728418862266287</v>
      </c>
      <c r="O15" s="31">
        <v>0.2</v>
      </c>
      <c r="P15" s="31">
        <v>0.4581900488424731</v>
      </c>
      <c r="Q15" s="31">
        <v>0.1418099511575269</v>
      </c>
      <c r="R15" s="31">
        <v>0.6</v>
      </c>
      <c r="T15" s="33">
        <f t="shared" si="0"/>
        <v>1</v>
      </c>
    </row>
    <row r="16" spans="1:20" ht="12.75">
      <c r="A16" s="6">
        <v>5</v>
      </c>
      <c r="B16" s="3" t="s">
        <v>8</v>
      </c>
      <c r="C16" s="8">
        <v>31124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0.18848779114770248</v>
      </c>
      <c r="K16" s="31">
        <v>0.011512208852297517</v>
      </c>
      <c r="L16" s="31">
        <v>0.2</v>
      </c>
      <c r="M16" s="31">
        <v>0.37698925109512166</v>
      </c>
      <c r="N16" s="31">
        <v>0.023010748904878354</v>
      </c>
      <c r="O16" s="31">
        <v>0.4</v>
      </c>
      <c r="P16" s="31">
        <v>0.37698925109512166</v>
      </c>
      <c r="Q16" s="31">
        <v>0.023010748904878354</v>
      </c>
      <c r="R16" s="31">
        <v>0.4</v>
      </c>
      <c r="T16" s="33">
        <f t="shared" si="0"/>
        <v>1</v>
      </c>
    </row>
    <row r="17" spans="1:20" ht="12.75">
      <c r="A17" s="6">
        <v>6</v>
      </c>
      <c r="B17" s="3" t="s">
        <v>12</v>
      </c>
      <c r="C17" s="8">
        <v>195000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0.1590304286181699</v>
      </c>
      <c r="K17" s="31">
        <v>0.04096957138183008</v>
      </c>
      <c r="L17" s="31">
        <v>0.2</v>
      </c>
      <c r="M17" s="31">
        <v>0.11034281444929023</v>
      </c>
      <c r="N17" s="31">
        <v>0.04965718555070979</v>
      </c>
      <c r="O17" s="31">
        <v>0.16</v>
      </c>
      <c r="P17" s="31">
        <v>0.525374511350242</v>
      </c>
      <c r="Q17" s="31">
        <v>0.11462548864975791</v>
      </c>
      <c r="R17" s="31">
        <v>0.64</v>
      </c>
      <c r="T17" s="33">
        <f t="shared" si="0"/>
        <v>0.9999999999999998</v>
      </c>
    </row>
    <row r="18" spans="1:18" ht="12.75">
      <c r="A18" s="6"/>
      <c r="B18" s="3"/>
      <c r="C18" s="8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1:20" ht="12.75">
      <c r="A19" s="5" t="s">
        <v>6</v>
      </c>
      <c r="B19" s="4" t="s">
        <v>9</v>
      </c>
      <c r="C19" s="8">
        <v>180033.25499999998</v>
      </c>
      <c r="D19" s="31">
        <v>0.1</v>
      </c>
      <c r="E19" s="31">
        <v>0.1</v>
      </c>
      <c r="F19" s="31">
        <v>0.1</v>
      </c>
      <c r="G19" s="31">
        <v>0.1</v>
      </c>
      <c r="H19" s="31">
        <v>0.1</v>
      </c>
      <c r="I19" s="31">
        <v>0.1</v>
      </c>
      <c r="J19" s="31">
        <v>0.1</v>
      </c>
      <c r="K19" s="31">
        <v>0.1</v>
      </c>
      <c r="L19" s="31">
        <v>0.1</v>
      </c>
      <c r="M19" s="31">
        <v>0.1</v>
      </c>
      <c r="N19" s="31">
        <v>0.1</v>
      </c>
      <c r="O19" s="31">
        <v>0.1</v>
      </c>
      <c r="P19" s="31">
        <v>0.1</v>
      </c>
      <c r="Q19" s="31">
        <v>0.1</v>
      </c>
      <c r="R19" s="31">
        <v>0.1</v>
      </c>
      <c r="T19" s="1"/>
    </row>
    <row r="20" spans="1:20" ht="12.75">
      <c r="A20" s="5"/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2"/>
      <c r="T20" s="1"/>
    </row>
    <row r="21" spans="1:18" ht="12.75">
      <c r="A21" s="13"/>
      <c r="B21" s="9" t="s">
        <v>16</v>
      </c>
      <c r="C21" s="8">
        <v>181075.4955</v>
      </c>
      <c r="D21" s="8">
        <v>4339.047344171773</v>
      </c>
      <c r="E21" s="8">
        <v>23307.08332582823</v>
      </c>
      <c r="F21" s="8">
        <v>27646.130670000002</v>
      </c>
      <c r="G21" s="8">
        <v>3409.8995593140203</v>
      </c>
      <c r="H21" s="8">
        <v>22435.89856068598</v>
      </c>
      <c r="I21" s="8">
        <v>25845.79812</v>
      </c>
      <c r="J21" s="8">
        <v>19805.061202648223</v>
      </c>
      <c r="K21" s="8">
        <v>15946.991387351778</v>
      </c>
      <c r="L21" s="8">
        <v>35752.05259</v>
      </c>
      <c r="M21" s="8">
        <v>18333.348173998398</v>
      </c>
      <c r="N21" s="8">
        <v>17171.623316001605</v>
      </c>
      <c r="O21" s="8">
        <v>35504.97148999999</v>
      </c>
      <c r="P21" s="8">
        <v>34084.01679710202</v>
      </c>
      <c r="Q21" s="8">
        <v>22242.525832897983</v>
      </c>
      <c r="R21" s="12">
        <v>56326.542629999996</v>
      </c>
    </row>
    <row r="22" spans="1:18" ht="12.75">
      <c r="A22" s="13"/>
      <c r="B22" s="9" t="s">
        <v>48</v>
      </c>
      <c r="C22" s="8"/>
      <c r="D22" s="8"/>
      <c r="E22" s="8">
        <v>1.21</v>
      </c>
      <c r="F22" s="8"/>
      <c r="G22" s="8"/>
      <c r="H22" s="8">
        <v>1.3310000000000004</v>
      </c>
      <c r="I22" s="8"/>
      <c r="J22" s="8"/>
      <c r="K22" s="8">
        <v>1.4641000000000004</v>
      </c>
      <c r="L22" s="8"/>
      <c r="M22" s="8"/>
      <c r="N22" s="8">
        <v>1.6105100000000006</v>
      </c>
      <c r="O22" s="8"/>
      <c r="P22" s="8"/>
      <c r="Q22" s="8">
        <v>1.7715610000000008</v>
      </c>
      <c r="R22" s="12"/>
    </row>
    <row r="23" spans="1:18" ht="12.75">
      <c r="A23" s="13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2"/>
    </row>
    <row r="24" spans="1:18" ht="12.75">
      <c r="A24" s="13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2"/>
    </row>
    <row r="25" spans="1:20" ht="13.5" thickBot="1">
      <c r="A25" s="14"/>
      <c r="B25" s="15" t="s">
        <v>11</v>
      </c>
      <c r="C25" s="16">
        <v>1991830.4504999998</v>
      </c>
      <c r="D25" s="16">
        <v>47729.5207858895</v>
      </c>
      <c r="E25" s="16">
        <v>256377.9165841105</v>
      </c>
      <c r="F25" s="16">
        <v>304107.43737</v>
      </c>
      <c r="G25" s="16">
        <v>37508.89515245422</v>
      </c>
      <c r="H25" s="16">
        <v>246794.88416754577</v>
      </c>
      <c r="I25" s="16">
        <v>284303.77932</v>
      </c>
      <c r="J25" s="16">
        <v>217855.67322913045</v>
      </c>
      <c r="K25" s="16">
        <v>175416.90526086953</v>
      </c>
      <c r="L25" s="16">
        <v>393272.57849</v>
      </c>
      <c r="M25" s="16">
        <v>201666.8299139824</v>
      </c>
      <c r="N25" s="16">
        <v>188887.85647601762</v>
      </c>
      <c r="O25" s="16">
        <v>390554.68638999993</v>
      </c>
      <c r="P25" s="16">
        <v>374924.1847681222</v>
      </c>
      <c r="Q25" s="16">
        <v>244667.78416187782</v>
      </c>
      <c r="R25" s="17">
        <v>619591.96893</v>
      </c>
      <c r="T25" s="18"/>
    </row>
    <row r="31" ht="12.75">
      <c r="C31" s="1"/>
    </row>
  </sheetData>
  <mergeCells count="12">
    <mergeCell ref="G4:I4"/>
    <mergeCell ref="J4:L4"/>
    <mergeCell ref="M4:O4"/>
    <mergeCell ref="P4:R4"/>
    <mergeCell ref="C4:C6"/>
    <mergeCell ref="A4:B6"/>
    <mergeCell ref="M5:O5"/>
    <mergeCell ref="P5:R5"/>
    <mergeCell ref="D5:F5"/>
    <mergeCell ref="G5:I5"/>
    <mergeCell ref="J5:L5"/>
    <mergeCell ref="D4:F4"/>
  </mergeCells>
  <printOptions horizontalCentered="1" verticalCentered="1"/>
  <pageMargins left="0.75" right="0.75" top="1.25" bottom="1" header="0.5" footer="0.5"/>
  <pageSetup fitToHeight="1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"/>
  <sheetViews>
    <sheetView workbookViewId="0" topLeftCell="A4">
      <selection activeCell="E35" sqref="E35"/>
    </sheetView>
  </sheetViews>
  <sheetFormatPr defaultColWidth="9.140625" defaultRowHeight="12.75"/>
  <cols>
    <col min="1" max="1" width="6.140625" style="0" customWidth="1"/>
    <col min="2" max="2" width="37.421875" style="0" customWidth="1"/>
    <col min="3" max="3" width="8.8515625" style="0" customWidth="1"/>
    <col min="4" max="4" width="8.00390625" style="0" customWidth="1"/>
    <col min="5" max="6" width="7.421875" style="0" customWidth="1"/>
    <col min="7" max="7" width="8.00390625" style="0" customWidth="1"/>
    <col min="8" max="9" width="7.421875" style="0" customWidth="1"/>
    <col min="10" max="10" width="8.00390625" style="0" customWidth="1"/>
    <col min="11" max="12" width="7.421875" style="0" customWidth="1"/>
    <col min="13" max="13" width="8.00390625" style="0" customWidth="1"/>
    <col min="14" max="15" width="7.421875" style="0" customWidth="1"/>
    <col min="16" max="16" width="8.00390625" style="0" customWidth="1"/>
    <col min="17" max="17" width="7.421875" style="0" customWidth="1"/>
    <col min="18" max="18" width="10.8515625" style="0" customWidth="1"/>
    <col min="20" max="20" width="10.140625" style="0" bestFit="1" customWidth="1"/>
  </cols>
  <sheetData>
    <row r="2" ht="12.75">
      <c r="C2" t="s">
        <v>53</v>
      </c>
    </row>
    <row r="3" ht="13.5" thickBot="1"/>
    <row r="4" spans="1:18" ht="12.75">
      <c r="A4" s="45" t="s">
        <v>10</v>
      </c>
      <c r="B4" s="46"/>
      <c r="C4" s="43" t="s">
        <v>17</v>
      </c>
      <c r="D4" s="41" t="s">
        <v>18</v>
      </c>
      <c r="E4" s="41"/>
      <c r="F4" s="41"/>
      <c r="G4" s="41" t="s">
        <v>18</v>
      </c>
      <c r="H4" s="41"/>
      <c r="I4" s="41"/>
      <c r="J4" s="41" t="s">
        <v>18</v>
      </c>
      <c r="K4" s="41"/>
      <c r="L4" s="41"/>
      <c r="M4" s="41" t="s">
        <v>18</v>
      </c>
      <c r="N4" s="41"/>
      <c r="O4" s="41"/>
      <c r="P4" s="41" t="s">
        <v>18</v>
      </c>
      <c r="Q4" s="41"/>
      <c r="R4" s="42"/>
    </row>
    <row r="5" spans="1:18" ht="12.75">
      <c r="A5" s="47"/>
      <c r="B5" s="48"/>
      <c r="C5" s="44"/>
      <c r="D5" s="49">
        <v>2005</v>
      </c>
      <c r="E5" s="49"/>
      <c r="F5" s="49"/>
      <c r="G5" s="49">
        <v>2006</v>
      </c>
      <c r="H5" s="49"/>
      <c r="I5" s="49"/>
      <c r="J5" s="49">
        <v>2007</v>
      </c>
      <c r="K5" s="49"/>
      <c r="L5" s="49"/>
      <c r="M5" s="49">
        <v>2008</v>
      </c>
      <c r="N5" s="49"/>
      <c r="O5" s="49"/>
      <c r="P5" s="49">
        <v>2009</v>
      </c>
      <c r="Q5" s="49"/>
      <c r="R5" s="50"/>
    </row>
    <row r="6" spans="1:18" ht="12.75">
      <c r="A6" s="47"/>
      <c r="B6" s="48"/>
      <c r="C6" s="44"/>
      <c r="D6" s="2" t="s">
        <v>13</v>
      </c>
      <c r="E6" s="2" t="s">
        <v>14</v>
      </c>
      <c r="F6" s="2" t="s">
        <v>15</v>
      </c>
      <c r="G6" s="2" t="s">
        <v>13</v>
      </c>
      <c r="H6" s="2" t="s">
        <v>14</v>
      </c>
      <c r="I6" s="2" t="s">
        <v>15</v>
      </c>
      <c r="J6" s="2" t="s">
        <v>13</v>
      </c>
      <c r="K6" s="2" t="s">
        <v>14</v>
      </c>
      <c r="L6" s="2" t="s">
        <v>15</v>
      </c>
      <c r="M6" s="2" t="s">
        <v>13</v>
      </c>
      <c r="N6" s="2" t="s">
        <v>14</v>
      </c>
      <c r="O6" s="2" t="s">
        <v>15</v>
      </c>
      <c r="P6" s="2" t="s">
        <v>13</v>
      </c>
      <c r="Q6" s="2" t="s">
        <v>14</v>
      </c>
      <c r="R6" s="10" t="s">
        <v>15</v>
      </c>
    </row>
    <row r="7" spans="1:18" ht="12.75">
      <c r="A7" s="5"/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1"/>
    </row>
    <row r="8" spans="1:20" ht="12.75">
      <c r="A8" s="5" t="s">
        <v>4</v>
      </c>
      <c r="B8" s="3" t="s">
        <v>49</v>
      </c>
      <c r="C8" s="8">
        <v>75000</v>
      </c>
      <c r="D8" s="8">
        <v>0</v>
      </c>
      <c r="E8" s="8">
        <v>37500</v>
      </c>
      <c r="F8" s="8">
        <v>37500</v>
      </c>
      <c r="G8" s="8">
        <v>0</v>
      </c>
      <c r="H8" s="8">
        <v>37500</v>
      </c>
      <c r="I8" s="8">
        <v>37500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2">
        <v>0</v>
      </c>
      <c r="T8" s="18"/>
    </row>
    <row r="9" spans="1:18" ht="12.75">
      <c r="A9" s="5"/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2"/>
    </row>
    <row r="10" spans="1:20" ht="12.75">
      <c r="A10" s="5" t="s">
        <v>5</v>
      </c>
      <c r="B10" s="3" t="s">
        <v>3</v>
      </c>
      <c r="C10" s="8">
        <v>2170359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294535.7895329876</v>
      </c>
      <c r="K10" s="8">
        <v>281049.5904670125</v>
      </c>
      <c r="L10" s="8">
        <v>575585.38</v>
      </c>
      <c r="M10" s="8">
        <v>306491.1305667141</v>
      </c>
      <c r="N10" s="8">
        <v>338418.89943328593</v>
      </c>
      <c r="O10" s="8">
        <v>644910.03</v>
      </c>
      <c r="P10" s="8">
        <v>545006.4270609624</v>
      </c>
      <c r="Q10" s="8">
        <v>404857.1629390375</v>
      </c>
      <c r="R10" s="12">
        <v>949863.59</v>
      </c>
      <c r="T10" s="18"/>
    </row>
    <row r="11" spans="1:18" ht="12.75">
      <c r="A11" s="5"/>
      <c r="B11" s="3"/>
      <c r="C11" s="34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2"/>
    </row>
    <row r="12" spans="1:18" ht="12.75">
      <c r="A12" s="6">
        <v>1</v>
      </c>
      <c r="B12" s="3" t="s">
        <v>50</v>
      </c>
      <c r="C12" s="8">
        <v>127202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33082.03602720377</v>
      </c>
      <c r="K12" s="8">
        <v>47055.22397279623</v>
      </c>
      <c r="L12" s="8">
        <v>80137.26</v>
      </c>
      <c r="M12" s="8">
        <v>0</v>
      </c>
      <c r="N12" s="8">
        <v>22896.36</v>
      </c>
      <c r="O12" s="8">
        <v>22896.36</v>
      </c>
      <c r="P12" s="8">
        <v>0</v>
      </c>
      <c r="Q12" s="8">
        <v>24168.38</v>
      </c>
      <c r="R12" s="12">
        <v>24168.38</v>
      </c>
    </row>
    <row r="13" spans="1:18" ht="12.75">
      <c r="A13" s="6">
        <v>2</v>
      </c>
      <c r="B13" s="3" t="s">
        <v>1</v>
      </c>
      <c r="C13" s="8">
        <v>1085209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129872.63906879058</v>
      </c>
      <c r="K13" s="8">
        <v>173985.88093120945</v>
      </c>
      <c r="L13" s="8">
        <v>303858.52</v>
      </c>
      <c r="M13" s="8">
        <v>160721.76932541784</v>
      </c>
      <c r="N13" s="8">
        <v>240805.56067458217</v>
      </c>
      <c r="O13" s="8">
        <v>401527.33</v>
      </c>
      <c r="P13" s="8">
        <v>164558.02865382208</v>
      </c>
      <c r="Q13" s="8">
        <v>215265.12134617794</v>
      </c>
      <c r="R13" s="12">
        <v>379823.15</v>
      </c>
    </row>
    <row r="14" spans="1:18" ht="12.75">
      <c r="A14" s="6">
        <v>3</v>
      </c>
      <c r="B14" s="3" t="s">
        <v>2</v>
      </c>
      <c r="C14" s="8">
        <v>347778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33824.87187129105</v>
      </c>
      <c r="K14" s="8">
        <v>35730.728128708965</v>
      </c>
      <c r="L14" s="8">
        <v>69555.6</v>
      </c>
      <c r="M14" s="8">
        <v>46789.81366464023</v>
      </c>
      <c r="N14" s="8">
        <v>47110.24633535978</v>
      </c>
      <c r="O14" s="8">
        <v>93900.06</v>
      </c>
      <c r="P14" s="8">
        <v>88514.04649328205</v>
      </c>
      <c r="Q14" s="8">
        <v>95808.29350671794</v>
      </c>
      <c r="R14" s="12">
        <v>184322.34</v>
      </c>
    </row>
    <row r="15" spans="1:18" ht="12.75">
      <c r="A15" s="6">
        <v>4</v>
      </c>
      <c r="B15" s="3" t="s">
        <v>7</v>
      </c>
      <c r="C15" s="8">
        <v>252719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38596.98720055168</v>
      </c>
      <c r="K15" s="8">
        <v>11946.812799448326</v>
      </c>
      <c r="L15" s="8">
        <v>50543.8</v>
      </c>
      <c r="M15" s="8">
        <v>38594.18713546926</v>
      </c>
      <c r="N15" s="8">
        <v>11949.612864530738</v>
      </c>
      <c r="O15" s="8">
        <v>50543.8</v>
      </c>
      <c r="P15" s="8">
        <v>115793.33095342095</v>
      </c>
      <c r="Q15" s="8">
        <v>35838.06904657904</v>
      </c>
      <c r="R15" s="12">
        <v>151631.4</v>
      </c>
    </row>
    <row r="16" spans="1:18" ht="12.75">
      <c r="A16" s="6">
        <v>5</v>
      </c>
      <c r="B16" s="3" t="s">
        <v>51</v>
      </c>
      <c r="C16" s="8">
        <v>78543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14804.396580113995</v>
      </c>
      <c r="K16" s="8">
        <v>904.2034198860039</v>
      </c>
      <c r="L16" s="8">
        <v>15708.6</v>
      </c>
      <c r="M16" s="8">
        <v>29609.86674876414</v>
      </c>
      <c r="N16" s="8">
        <v>1807.3332512358606</v>
      </c>
      <c r="O16" s="8">
        <v>31417.2</v>
      </c>
      <c r="P16" s="8">
        <v>29609.86674876414</v>
      </c>
      <c r="Q16" s="8">
        <v>1807.3332512358606</v>
      </c>
      <c r="R16" s="12">
        <v>31417.2</v>
      </c>
    </row>
    <row r="17" spans="1:18" ht="12.75">
      <c r="A17" s="6">
        <v>6</v>
      </c>
      <c r="B17" s="3" t="s">
        <v>52</v>
      </c>
      <c r="C17" s="8">
        <v>278908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44354.85878503653</v>
      </c>
      <c r="K17" s="8">
        <v>11426.741214963464</v>
      </c>
      <c r="L17" s="8">
        <v>55781.6</v>
      </c>
      <c r="M17" s="8">
        <v>30775.49369242264</v>
      </c>
      <c r="N17" s="8">
        <v>13849.786307577366</v>
      </c>
      <c r="O17" s="8">
        <v>44625.28</v>
      </c>
      <c r="P17" s="8">
        <v>146531.1542116733</v>
      </c>
      <c r="Q17" s="8">
        <v>31969.96578832668</v>
      </c>
      <c r="R17" s="12">
        <v>178501.12</v>
      </c>
    </row>
    <row r="18" spans="1:18" ht="12.75">
      <c r="A18" s="6"/>
      <c r="B18" s="3"/>
      <c r="C18" s="3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2"/>
    </row>
    <row r="19" spans="1:20" ht="12.75">
      <c r="A19" s="5" t="s">
        <v>6</v>
      </c>
      <c r="B19" s="4" t="s">
        <v>9</v>
      </c>
      <c r="C19" s="8">
        <v>259166</v>
      </c>
      <c r="D19" s="8">
        <v>25916.6</v>
      </c>
      <c r="E19" s="8">
        <v>25916.6</v>
      </c>
      <c r="F19" s="8">
        <v>51833.2</v>
      </c>
      <c r="G19" s="8">
        <v>25916.6</v>
      </c>
      <c r="H19" s="8">
        <v>25916.6</v>
      </c>
      <c r="I19" s="8">
        <v>51833.2</v>
      </c>
      <c r="J19" s="8">
        <v>25916.6</v>
      </c>
      <c r="K19" s="8">
        <v>25916.6</v>
      </c>
      <c r="L19" s="8">
        <v>51833.2</v>
      </c>
      <c r="M19" s="8">
        <v>25916.6</v>
      </c>
      <c r="N19" s="8">
        <v>25916.6</v>
      </c>
      <c r="O19" s="8">
        <v>51833.2</v>
      </c>
      <c r="P19" s="8">
        <v>25916.6</v>
      </c>
      <c r="Q19" s="8">
        <v>25916.6</v>
      </c>
      <c r="R19" s="12">
        <v>51833.2</v>
      </c>
      <c r="T19" s="18"/>
    </row>
    <row r="20" spans="1:20" ht="12.75">
      <c r="A20" s="5"/>
      <c r="B20" s="4"/>
      <c r="C20" s="3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2"/>
      <c r="T20" s="1"/>
    </row>
    <row r="21" spans="1:20" ht="12.75">
      <c r="A21" s="13"/>
      <c r="B21" s="9" t="s">
        <v>16</v>
      </c>
      <c r="C21" s="8">
        <v>235606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29453.57895329876</v>
      </c>
      <c r="K21" s="8">
        <v>28104.95904670125</v>
      </c>
      <c r="L21" s="8">
        <v>57558.538</v>
      </c>
      <c r="M21" s="8">
        <v>30649.113056671413</v>
      </c>
      <c r="N21" s="8">
        <v>33841.88994332859</v>
      </c>
      <c r="O21" s="8">
        <v>64491.003000000004</v>
      </c>
      <c r="P21" s="8">
        <v>54500.642706096245</v>
      </c>
      <c r="Q21" s="8">
        <v>40485.71629390375</v>
      </c>
      <c r="R21" s="12">
        <v>94986.359</v>
      </c>
      <c r="T21" s="18"/>
    </row>
    <row r="22" spans="1:18" ht="12.75">
      <c r="A22" s="13"/>
      <c r="B22" s="9" t="s">
        <v>48</v>
      </c>
      <c r="C22" s="8">
        <v>137595.4648972162</v>
      </c>
      <c r="D22" s="8">
        <v>0</v>
      </c>
      <c r="E22" s="8">
        <v>3609.06128</v>
      </c>
      <c r="F22" s="8">
        <v>3609.06128</v>
      </c>
      <c r="G22" s="8">
        <v>0</v>
      </c>
      <c r="H22" s="8">
        <v>5467.9065055999945</v>
      </c>
      <c r="I22" s="8">
        <v>5467.9065055999945</v>
      </c>
      <c r="J22" s="8">
        <v>0</v>
      </c>
      <c r="K22" s="8">
        <v>27620.638608098365</v>
      </c>
      <c r="L22" s="8">
        <v>27620.638608098365</v>
      </c>
      <c r="M22" s="8">
        <v>0</v>
      </c>
      <c r="N22" s="8">
        <v>41442.62250239719</v>
      </c>
      <c r="O22" s="8">
        <v>41442.62250239719</v>
      </c>
      <c r="P22" s="8">
        <v>0</v>
      </c>
      <c r="Q22" s="8">
        <v>59455.23600112066</v>
      </c>
      <c r="R22" s="12">
        <v>59455.23600112066</v>
      </c>
    </row>
    <row r="23" spans="1:18" ht="12.75">
      <c r="A23" s="13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2"/>
    </row>
    <row r="24" spans="1:20" ht="13.5" thickBot="1">
      <c r="A24" s="14"/>
      <c r="B24" s="15" t="s">
        <v>11</v>
      </c>
      <c r="C24" s="16">
        <v>2877726.4648972163</v>
      </c>
      <c r="D24" s="16">
        <v>25916.6</v>
      </c>
      <c r="E24" s="16">
        <v>67025.66128</v>
      </c>
      <c r="F24" s="16">
        <v>92942.26128</v>
      </c>
      <c r="G24" s="16">
        <v>25916.6</v>
      </c>
      <c r="H24" s="16">
        <v>68884.5065056</v>
      </c>
      <c r="I24" s="16">
        <v>94801.10650560001</v>
      </c>
      <c r="J24" s="16">
        <v>349905.96848628635</v>
      </c>
      <c r="K24" s="16">
        <v>362691.7881218121</v>
      </c>
      <c r="L24" s="16">
        <v>712597.7566080984</v>
      </c>
      <c r="M24" s="16">
        <v>363056.84362338553</v>
      </c>
      <c r="N24" s="16">
        <v>439620.01187901176</v>
      </c>
      <c r="O24" s="16">
        <v>802676.8555023973</v>
      </c>
      <c r="P24" s="16">
        <v>625423.6697670587</v>
      </c>
      <c r="Q24" s="16">
        <v>530714.7152340619</v>
      </c>
      <c r="R24" s="17">
        <v>1156138.3850011206</v>
      </c>
      <c r="T24" s="18"/>
    </row>
    <row r="26" ht="12.75">
      <c r="T26" s="18"/>
    </row>
    <row r="29" spans="2:3" ht="12.75">
      <c r="B29" t="s">
        <v>56</v>
      </c>
      <c r="C29" s="1">
        <f>SUM(C30:C32)</f>
        <v>52543</v>
      </c>
    </row>
    <row r="30" spans="2:3" ht="12.75">
      <c r="B30" t="s">
        <v>1</v>
      </c>
      <c r="C30" s="1">
        <f>(C14+C13)*0.02</f>
        <v>28659.74</v>
      </c>
    </row>
    <row r="31" spans="2:3" ht="12.75">
      <c r="B31" t="s">
        <v>54</v>
      </c>
      <c r="C31">
        <f>(C15+C16)*0.03</f>
        <v>9937.859999999999</v>
      </c>
    </row>
    <row r="32" spans="2:3" ht="12.75">
      <c r="B32" t="s">
        <v>55</v>
      </c>
      <c r="C32">
        <f>0.05*C17</f>
        <v>13945.400000000001</v>
      </c>
    </row>
  </sheetData>
  <mergeCells count="12">
    <mergeCell ref="M4:O4"/>
    <mergeCell ref="P4:R4"/>
    <mergeCell ref="C4:C6"/>
    <mergeCell ref="A4:B6"/>
    <mergeCell ref="M5:O5"/>
    <mergeCell ref="P5:R5"/>
    <mergeCell ref="D5:F5"/>
    <mergeCell ref="G5:I5"/>
    <mergeCell ref="J5:L5"/>
    <mergeCell ref="D4:F4"/>
    <mergeCell ref="G4:I4"/>
    <mergeCell ref="J4:L4"/>
  </mergeCells>
  <printOptions horizontalCentered="1" verticalCentered="1"/>
  <pageMargins left="0.75" right="0.75" top="1.25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22">
      <selection activeCell="O32" sqref="O32:P32"/>
    </sheetView>
  </sheetViews>
  <sheetFormatPr defaultColWidth="9.140625" defaultRowHeight="12.75"/>
  <cols>
    <col min="1" max="14" width="7.7109375" style="0" customWidth="1"/>
    <col min="15" max="15" width="9.7109375" style="0" customWidth="1"/>
    <col min="16" max="16" width="9.00390625" style="0" customWidth="1"/>
  </cols>
  <sheetData>
    <row r="1" ht="15.75" thickBot="1">
      <c r="A1" s="81" t="s">
        <v>73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v>106270</v>
      </c>
      <c r="C5" s="19">
        <v>0</v>
      </c>
      <c r="D5" s="20">
        <f>C5+B5</f>
        <v>106270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>O5-D5</f>
        <v>-106270</v>
      </c>
    </row>
    <row r="6" spans="1:16" ht="12.75">
      <c r="A6" s="21">
        <v>2006</v>
      </c>
      <c r="B6" s="20">
        <v>138960</v>
      </c>
      <c r="C6" s="19">
        <v>0</v>
      </c>
      <c r="D6" s="20">
        <f aca="true" t="shared" si="0" ref="D6:D29">C6+B6</f>
        <v>138960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aca="true" t="shared" si="1" ref="P6:P29">O6-D6</f>
        <v>-138960</v>
      </c>
    </row>
    <row r="7" spans="1:16" ht="12.75">
      <c r="A7" s="21">
        <v>2007</v>
      </c>
      <c r="B7" s="20">
        <v>844326</v>
      </c>
      <c r="C7" s="19">
        <v>0</v>
      </c>
      <c r="D7" s="20">
        <f t="shared" si="0"/>
        <v>844326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</v>
      </c>
    </row>
    <row r="8" spans="1:16" ht="12.75">
      <c r="A8" s="21">
        <v>2008</v>
      </c>
      <c r="B8" s="20">
        <v>1034372</v>
      </c>
      <c r="C8" s="19">
        <v>0</v>
      </c>
      <c r="D8" s="20">
        <f t="shared" si="0"/>
        <v>1034372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-1034372</v>
      </c>
    </row>
    <row r="9" spans="1:16" ht="12.75">
      <c r="A9" s="21">
        <v>2009</v>
      </c>
      <c r="B9" s="20">
        <v>1315684</v>
      </c>
      <c r="C9" s="19">
        <v>0</v>
      </c>
      <c r="D9" s="20">
        <f t="shared" si="0"/>
        <v>1315684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2414.5980664000003</v>
      </c>
      <c r="F10" s="20">
        <v>240.95781120000007</v>
      </c>
      <c r="G10" s="20">
        <v>973.04</v>
      </c>
      <c r="H10" s="20">
        <v>579.2</v>
      </c>
      <c r="I10" s="20">
        <v>0</v>
      </c>
      <c r="J10" s="20">
        <v>0</v>
      </c>
      <c r="K10" s="20">
        <v>6535.97</v>
      </c>
      <c r="L10" s="20">
        <v>87.15695039999999</v>
      </c>
      <c r="M10" s="20">
        <v>15.48</v>
      </c>
      <c r="N10" s="20">
        <v>3607.764</v>
      </c>
      <c r="O10" s="20">
        <f>SUM(E10:N10)</f>
        <v>14454.166828000001</v>
      </c>
      <c r="P10" s="22">
        <f t="shared" si="1"/>
        <v>-38068.833172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2460.8015275108187</v>
      </c>
      <c r="F11" s="20">
        <v>245.5685516019112</v>
      </c>
      <c r="G11" s="20">
        <v>991.4769565573463</v>
      </c>
      <c r="H11" s="20">
        <v>579.2</v>
      </c>
      <c r="I11" s="20">
        <v>0</v>
      </c>
      <c r="J11" s="20">
        <v>0</v>
      </c>
      <c r="K11" s="20">
        <v>6535.97</v>
      </c>
      <c r="L11" s="20">
        <v>88.82470323405566</v>
      </c>
      <c r="M11" s="20">
        <v>15.48</v>
      </c>
      <c r="N11" s="20">
        <v>3607.764</v>
      </c>
      <c r="O11" s="20">
        <f aca="true" t="shared" si="2" ref="O11:O29">SUM(E11:N11)</f>
        <v>14525.08573890413</v>
      </c>
      <c r="P11" s="22">
        <f t="shared" si="1"/>
        <v>-37997.914261095866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2507.889538237892</v>
      </c>
      <c r="F12" s="20">
        <v>250.26756306739878</v>
      </c>
      <c r="G12" s="20">
        <v>1010.2632526763729</v>
      </c>
      <c r="H12" s="20">
        <v>579.2</v>
      </c>
      <c r="I12" s="20">
        <v>0</v>
      </c>
      <c r="J12" s="20">
        <v>0</v>
      </c>
      <c r="K12" s="20">
        <v>6535.97</v>
      </c>
      <c r="L12" s="20">
        <v>90.5243846313381</v>
      </c>
      <c r="M12" s="20">
        <v>15.48</v>
      </c>
      <c r="N12" s="20">
        <v>3607.764</v>
      </c>
      <c r="O12" s="20">
        <f t="shared" si="2"/>
        <v>14597.358738613002</v>
      </c>
      <c r="P12" s="22">
        <f t="shared" si="1"/>
        <v>-37925.641261387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2555.879041721945</v>
      </c>
      <c r="F13" s="20">
        <v>255.05653638805273</v>
      </c>
      <c r="G13" s="20">
        <v>1029.4055075693655</v>
      </c>
      <c r="H13" s="20">
        <v>579.2</v>
      </c>
      <c r="I13" s="20">
        <v>0</v>
      </c>
      <c r="J13" s="20">
        <v>0</v>
      </c>
      <c r="K13" s="20">
        <v>6535.97</v>
      </c>
      <c r="L13" s="20">
        <v>92.25660616877859</v>
      </c>
      <c r="M13" s="20">
        <v>15.48</v>
      </c>
      <c r="N13" s="20">
        <v>3607.764</v>
      </c>
      <c r="O13" s="20">
        <f t="shared" si="2"/>
        <v>14671.011691848144</v>
      </c>
      <c r="P13" s="22">
        <f t="shared" si="1"/>
        <v>-37851.98830815186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2604.787305813656</v>
      </c>
      <c r="F14" s="20">
        <v>259.9371947589512</v>
      </c>
      <c r="G14" s="20">
        <v>1048.9104658680474</v>
      </c>
      <c r="H14" s="20">
        <v>579.2</v>
      </c>
      <c r="I14" s="20">
        <v>0</v>
      </c>
      <c r="J14" s="20">
        <v>0</v>
      </c>
      <c r="K14" s="20">
        <v>6535.97</v>
      </c>
      <c r="L14" s="20">
        <v>94.02199114398763</v>
      </c>
      <c r="M14" s="20">
        <v>15.48</v>
      </c>
      <c r="N14" s="20">
        <v>3607.764</v>
      </c>
      <c r="O14" s="20">
        <f t="shared" si="2"/>
        <v>14746.070957584641</v>
      </c>
      <c r="P14" s="22">
        <f t="shared" si="1"/>
        <v>-37776.92904241536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2654.6319293</v>
      </c>
      <c r="F15" s="20">
        <v>264.91129440000003</v>
      </c>
      <c r="G15" s="20">
        <v>1068.785</v>
      </c>
      <c r="H15" s="20">
        <v>579.2</v>
      </c>
      <c r="I15" s="20">
        <v>0</v>
      </c>
      <c r="J15" s="20">
        <v>0</v>
      </c>
      <c r="K15" s="20">
        <v>6535.97</v>
      </c>
      <c r="L15" s="20">
        <v>95.8211748</v>
      </c>
      <c r="M15" s="20">
        <v>15.48</v>
      </c>
      <c r="N15" s="20">
        <v>3607.764</v>
      </c>
      <c r="O15" s="20">
        <f t="shared" si="2"/>
        <v>14822.563398499999</v>
      </c>
      <c r="P15" s="22">
        <f t="shared" si="1"/>
        <v>-37700.4366015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2703.6468441089974</v>
      </c>
      <c r="F16" s="20">
        <v>269.8025956699207</v>
      </c>
      <c r="G16" s="20">
        <v>1088.5874761076927</v>
      </c>
      <c r="H16" s="20">
        <v>579.2</v>
      </c>
      <c r="I16" s="20">
        <v>0</v>
      </c>
      <c r="J16" s="20">
        <v>0</v>
      </c>
      <c r="K16" s="20">
        <v>6535.97</v>
      </c>
      <c r="L16" s="20">
        <v>97.59040942265388</v>
      </c>
      <c r="M16" s="20">
        <v>15.48</v>
      </c>
      <c r="N16" s="20">
        <v>3607.764</v>
      </c>
      <c r="O16" s="20">
        <f t="shared" si="2"/>
        <v>14898.041325309263</v>
      </c>
      <c r="P16" s="22">
        <f t="shared" si="1"/>
        <v>-37624.95867469074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2753.566766705445</v>
      </c>
      <c r="F17" s="20">
        <v>274.78420956727933</v>
      </c>
      <c r="G17" s="20">
        <v>1108.7568530045958</v>
      </c>
      <c r="H17" s="20">
        <v>579.2</v>
      </c>
      <c r="I17" s="20">
        <v>0</v>
      </c>
      <c r="J17" s="20">
        <v>0</v>
      </c>
      <c r="K17" s="20">
        <v>6535.97</v>
      </c>
      <c r="L17" s="20">
        <v>99.39231106345046</v>
      </c>
      <c r="M17" s="20">
        <v>15.48</v>
      </c>
      <c r="N17" s="20">
        <v>3607.764</v>
      </c>
      <c r="O17" s="20">
        <f t="shared" si="2"/>
        <v>14974.91414034077</v>
      </c>
      <c r="P17" s="22">
        <f t="shared" si="1"/>
        <v>-37548.08585965923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2804.408407091506</v>
      </c>
      <c r="F18" s="20">
        <v>279.85780361827915</v>
      </c>
      <c r="G18" s="20">
        <v>1129.2999286380152</v>
      </c>
      <c r="H18" s="20">
        <v>579.2</v>
      </c>
      <c r="I18" s="20">
        <v>0</v>
      </c>
      <c r="J18" s="20">
        <v>0</v>
      </c>
      <c r="K18" s="20">
        <v>6535.97</v>
      </c>
      <c r="L18" s="20">
        <v>101.22748288398834</v>
      </c>
      <c r="M18" s="20">
        <v>15.48</v>
      </c>
      <c r="N18" s="20">
        <v>3607.764</v>
      </c>
      <c r="O18" s="20">
        <f t="shared" si="2"/>
        <v>15053.207622231788</v>
      </c>
      <c r="P18" s="22">
        <f t="shared" si="1"/>
        <v>-37469.792377768215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2856.188783801774</v>
      </c>
      <c r="F19" s="20">
        <v>285.02507613822274</v>
      </c>
      <c r="G19" s="20">
        <v>1150.2236269078014</v>
      </c>
      <c r="H19" s="20">
        <v>579.2</v>
      </c>
      <c r="I19" s="20">
        <v>0</v>
      </c>
      <c r="J19" s="20">
        <v>0</v>
      </c>
      <c r="K19" s="20">
        <v>6535.97</v>
      </c>
      <c r="L19" s="20">
        <v>103.09653918260403</v>
      </c>
      <c r="M19" s="20">
        <v>15.48</v>
      </c>
      <c r="N19" s="20">
        <v>3607.764</v>
      </c>
      <c r="O19" s="20">
        <f t="shared" si="2"/>
        <v>15132.948026030404</v>
      </c>
      <c r="P19" s="22">
        <f t="shared" si="1"/>
        <v>-37390.051973969596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2908.9252296000004</v>
      </c>
      <c r="F20" s="20">
        <v>290.2877568</v>
      </c>
      <c r="G20" s="20">
        <v>1171.535</v>
      </c>
      <c r="H20" s="20">
        <v>579.2</v>
      </c>
      <c r="I20" s="20">
        <v>0</v>
      </c>
      <c r="J20" s="20">
        <v>0</v>
      </c>
      <c r="K20" s="20">
        <v>6535.97</v>
      </c>
      <c r="L20" s="20">
        <v>105.0001056</v>
      </c>
      <c r="M20" s="20">
        <v>15.48</v>
      </c>
      <c r="N20" s="20">
        <v>3607.764</v>
      </c>
      <c r="O20" s="20">
        <f t="shared" si="2"/>
        <v>15214.162091999999</v>
      </c>
      <c r="P20" s="22">
        <f t="shared" si="1"/>
        <v>-37308.837908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2959.4236072156777</v>
      </c>
      <c r="F21" s="20">
        <v>295.3270959383629</v>
      </c>
      <c r="G21" s="20">
        <v>1192.1197953182445</v>
      </c>
      <c r="H21" s="20">
        <v>579.2</v>
      </c>
      <c r="I21" s="20">
        <v>0</v>
      </c>
      <c r="J21" s="20">
        <v>0</v>
      </c>
      <c r="K21" s="20">
        <v>6535.97</v>
      </c>
      <c r="L21" s="20">
        <v>106.82288706179921</v>
      </c>
      <c r="M21" s="20">
        <v>15.48</v>
      </c>
      <c r="N21" s="20">
        <v>3607.764</v>
      </c>
      <c r="O21" s="20">
        <f t="shared" si="2"/>
        <v>15292.107385534084</v>
      </c>
      <c r="P21" s="22">
        <f t="shared" si="1"/>
        <v>-37230.89261446592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3010.799691483378</v>
      </c>
      <c r="F22" s="20">
        <v>300.4540232665326</v>
      </c>
      <c r="G22" s="20">
        <v>1213.0662817496818</v>
      </c>
      <c r="H22" s="20">
        <v>579.2</v>
      </c>
      <c r="I22" s="20">
        <v>0</v>
      </c>
      <c r="J22" s="20">
        <v>0</v>
      </c>
      <c r="K22" s="20">
        <v>6535.97</v>
      </c>
      <c r="L22" s="20">
        <v>108.67735008426908</v>
      </c>
      <c r="M22" s="20">
        <v>15.48</v>
      </c>
      <c r="N22" s="20">
        <v>3607.764</v>
      </c>
      <c r="O22" s="20">
        <f t="shared" si="2"/>
        <v>15371.41134658386</v>
      </c>
      <c r="P22" s="22">
        <f t="shared" si="1"/>
        <v>-37151.58865341614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3063.0687553514645</v>
      </c>
      <c r="F23" s="20">
        <v>305.6700629040962</v>
      </c>
      <c r="G23" s="20">
        <v>1234.3808144928616</v>
      </c>
      <c r="H23" s="20">
        <v>579.2</v>
      </c>
      <c r="I23" s="20">
        <v>0</v>
      </c>
      <c r="J23" s="20">
        <v>0</v>
      </c>
      <c r="K23" s="20">
        <v>6535.97</v>
      </c>
      <c r="L23" s="20">
        <v>110.56404595734139</v>
      </c>
      <c r="M23" s="20">
        <v>15.48</v>
      </c>
      <c r="N23" s="20">
        <v>3607.764</v>
      </c>
      <c r="O23" s="20">
        <f t="shared" si="2"/>
        <v>15452.097678705763</v>
      </c>
      <c r="P23" s="22">
        <f t="shared" si="1"/>
        <v>-37070.90232129424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3116.246337823946</v>
      </c>
      <c r="F24" s="20">
        <v>310.97676552089274</v>
      </c>
      <c r="G24" s="20">
        <v>1256.0698604121928</v>
      </c>
      <c r="H24" s="20">
        <v>579.2</v>
      </c>
      <c r="I24" s="20">
        <v>0</v>
      </c>
      <c r="J24" s="20">
        <v>0</v>
      </c>
      <c r="K24" s="20">
        <v>6535.97</v>
      </c>
      <c r="L24" s="20">
        <v>112.4835355744503</v>
      </c>
      <c r="M24" s="20">
        <v>15.48</v>
      </c>
      <c r="N24" s="20">
        <v>3607.764</v>
      </c>
      <c r="O24" s="20">
        <f t="shared" si="2"/>
        <v>15534.190499331482</v>
      </c>
      <c r="P24" s="22">
        <f t="shared" si="1"/>
        <v>-36988.80950066852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3170.3482486000003</v>
      </c>
      <c r="F25" s="20">
        <v>316.37570880000004</v>
      </c>
      <c r="G25" s="20">
        <v>1278.14</v>
      </c>
      <c r="H25" s="20">
        <v>579.2</v>
      </c>
      <c r="I25" s="20">
        <v>0</v>
      </c>
      <c r="J25" s="20">
        <v>0</v>
      </c>
      <c r="K25" s="20">
        <v>6535.97</v>
      </c>
      <c r="L25" s="20">
        <v>114.4363896</v>
      </c>
      <c r="M25" s="20">
        <v>15.48</v>
      </c>
      <c r="N25" s="20">
        <v>3607.764</v>
      </c>
      <c r="O25" s="20">
        <f t="shared" si="2"/>
        <v>15617.714347000001</v>
      </c>
      <c r="P25" s="22">
        <f t="shared" si="1"/>
        <v>-36905.285653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3225.3905727944666</v>
      </c>
      <c r="F26" s="20">
        <v>321.8684979088034</v>
      </c>
      <c r="G26" s="20">
        <v>1300.5979293730543</v>
      </c>
      <c r="H26" s="20">
        <v>579.2</v>
      </c>
      <c r="I26" s="20">
        <v>0</v>
      </c>
      <c r="J26" s="20">
        <v>0</v>
      </c>
      <c r="K26" s="20">
        <v>6535.97</v>
      </c>
      <c r="L26" s="20">
        <v>116.42318863975503</v>
      </c>
      <c r="M26" s="20">
        <v>15.48</v>
      </c>
      <c r="N26" s="20">
        <v>3607.764</v>
      </c>
      <c r="O26" s="20">
        <f t="shared" si="2"/>
        <v>15702.69418871608</v>
      </c>
      <c r="P26" s="22">
        <f t="shared" si="1"/>
        <v>-36820.30581128392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3281.389675740765</v>
      </c>
      <c r="F27" s="20">
        <v>327.4567659782884</v>
      </c>
      <c r="G27" s="20">
        <v>1323.4504623041894</v>
      </c>
      <c r="H27" s="20">
        <v>579.2</v>
      </c>
      <c r="I27" s="20">
        <v>0</v>
      </c>
      <c r="J27" s="20">
        <v>0</v>
      </c>
      <c r="K27" s="20">
        <v>6535.97</v>
      </c>
      <c r="L27" s="20">
        <v>118.4445234142054</v>
      </c>
      <c r="M27" s="20">
        <v>15.48</v>
      </c>
      <c r="N27" s="20">
        <v>3607.764</v>
      </c>
      <c r="O27" s="20">
        <f t="shared" si="2"/>
        <v>15789.15542743745</v>
      </c>
      <c r="P27" s="22">
        <f t="shared" si="1"/>
        <v>-36733.84457256255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3338.362207877622</v>
      </c>
      <c r="F28" s="20">
        <v>333.1421745906983</v>
      </c>
      <c r="G28" s="20">
        <v>1346.7045322896083</v>
      </c>
      <c r="H28" s="20">
        <v>579.2</v>
      </c>
      <c r="I28" s="20">
        <v>0</v>
      </c>
      <c r="J28" s="20">
        <v>0</v>
      </c>
      <c r="K28" s="20">
        <v>6535.97</v>
      </c>
      <c r="L28" s="20">
        <v>120.50099493495743</v>
      </c>
      <c r="M28" s="20">
        <v>15.48</v>
      </c>
      <c r="N28" s="20">
        <v>3607.764</v>
      </c>
      <c r="O28" s="20">
        <f t="shared" si="2"/>
        <v>15877.123909692884</v>
      </c>
      <c r="P28" s="22">
        <f t="shared" si="1"/>
        <v>-36645.876090307116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3396.3251097211287</v>
      </c>
      <c r="F29" s="25">
        <v>338.92641427570516</v>
      </c>
      <c r="G29" s="25">
        <v>1370.36719465252</v>
      </c>
      <c r="H29" s="25">
        <v>579.2</v>
      </c>
      <c r="I29" s="25">
        <v>0</v>
      </c>
      <c r="J29" s="25">
        <v>0</v>
      </c>
      <c r="K29" s="25">
        <v>6535.97</v>
      </c>
      <c r="L29" s="25">
        <v>122.59321468420396</v>
      </c>
      <c r="M29" s="25">
        <v>15.48</v>
      </c>
      <c r="N29" s="25">
        <v>3607.764</v>
      </c>
      <c r="O29" s="25">
        <f t="shared" si="2"/>
        <v>15966.625933333558</v>
      </c>
      <c r="P29" s="26">
        <f t="shared" si="1"/>
        <v>-36556.37406666644</v>
      </c>
    </row>
    <row r="30" spans="1:16" ht="12.75">
      <c r="A30" s="60" t="s">
        <v>40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58" t="s">
        <v>63</v>
      </c>
      <c r="N30" s="57"/>
      <c r="O30" s="57"/>
      <c r="P30" s="59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-3734385.6421801057</v>
      </c>
      <c r="L32" s="53"/>
      <c r="M32" s="52">
        <f>NPV(M31,P5:P29)</f>
        <v>-3540956.4098120285</v>
      </c>
      <c r="N32" s="53"/>
      <c r="O32" s="52">
        <f>NPV(O31,P5:P29)</f>
        <v>-3365065.267302555</v>
      </c>
      <c r="P32" s="77"/>
    </row>
    <row r="34" ht="12.75">
      <c r="B34" s="39"/>
    </row>
  </sheetData>
  <mergeCells count="15"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  <mergeCell ref="A30:H32"/>
    <mergeCell ref="P2:P3"/>
    <mergeCell ref="O31:P31"/>
    <mergeCell ref="M31:N31"/>
    <mergeCell ref="K31:L31"/>
  </mergeCells>
  <printOptions horizontalCentered="1"/>
  <pageMargins left="0.75" right="0.75" top="1" bottom="0.6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9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72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.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v>106270</v>
      </c>
      <c r="C5" s="19">
        <v>0</v>
      </c>
      <c r="D5" s="20">
        <f aca="true" t="shared" si="0" ref="D5:D29">C5+B5</f>
        <v>106270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</v>
      </c>
    </row>
    <row r="6" spans="1:16" ht="12.75">
      <c r="A6" s="21">
        <v>2006</v>
      </c>
      <c r="B6" s="20">
        <v>138960</v>
      </c>
      <c r="C6" s="19">
        <v>0</v>
      </c>
      <c r="D6" s="20">
        <f t="shared" si="0"/>
        <v>138960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-138960</v>
      </c>
    </row>
    <row r="7" spans="1:16" ht="12.75">
      <c r="A7" s="21">
        <v>2007</v>
      </c>
      <c r="B7" s="20">
        <v>844326</v>
      </c>
      <c r="C7" s="19">
        <v>0</v>
      </c>
      <c r="D7" s="20">
        <f t="shared" si="0"/>
        <v>844326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</v>
      </c>
    </row>
    <row r="8" spans="1:16" ht="12.75">
      <c r="A8" s="21">
        <v>2008</v>
      </c>
      <c r="B8" s="20">
        <v>1034372</v>
      </c>
      <c r="C8" s="19">
        <v>0</v>
      </c>
      <c r="D8" s="20">
        <f t="shared" si="0"/>
        <v>1034372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-1034372</v>
      </c>
    </row>
    <row r="9" spans="1:16" ht="12.75">
      <c r="A9" s="21">
        <v>2009</v>
      </c>
      <c r="B9" s="20">
        <v>1315684</v>
      </c>
      <c r="C9" s="19">
        <v>0</v>
      </c>
      <c r="D9" s="20">
        <f t="shared" si="0"/>
        <v>1315684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2656.05787304</v>
      </c>
      <c r="F10" s="20">
        <v>291.55895155200005</v>
      </c>
      <c r="G10" s="20">
        <v>1070.344</v>
      </c>
      <c r="H10" s="20">
        <v>637.12</v>
      </c>
      <c r="I10" s="20">
        <v>0</v>
      </c>
      <c r="J10" s="20">
        <v>0</v>
      </c>
      <c r="K10" s="20">
        <v>7189.567</v>
      </c>
      <c r="L10" s="20">
        <v>95.87264544</v>
      </c>
      <c r="M10" s="20">
        <v>17.028</v>
      </c>
      <c r="N10" s="20">
        <v>3968.5404000000003</v>
      </c>
      <c r="O10" s="20">
        <f aca="true" t="shared" si="2" ref="O10:O29">SUM(E10:N10)</f>
        <v>15926.088870032001</v>
      </c>
      <c r="P10" s="22">
        <f t="shared" si="1"/>
        <v>-36596.911129968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2977.569848288091</v>
      </c>
      <c r="F11" s="20">
        <v>359.5369164003584</v>
      </c>
      <c r="G11" s="20">
        <v>1199.6871174343892</v>
      </c>
      <c r="H11" s="20">
        <v>700.832</v>
      </c>
      <c r="I11" s="20">
        <v>0</v>
      </c>
      <c r="J11" s="20">
        <v>0</v>
      </c>
      <c r="K11" s="20">
        <v>7908.523700000002</v>
      </c>
      <c r="L11" s="20">
        <v>107.47789091320737</v>
      </c>
      <c r="M11" s="20">
        <v>18.7308</v>
      </c>
      <c r="N11" s="20">
        <v>4365.39444</v>
      </c>
      <c r="O11" s="20">
        <f t="shared" si="2"/>
        <v>17637.752713036047</v>
      </c>
      <c r="P11" s="22">
        <f t="shared" si="1"/>
        <v>-34885.24728696395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3338.0009753946356</v>
      </c>
      <c r="F12" s="20">
        <v>443.36425429524434</v>
      </c>
      <c r="G12" s="20">
        <v>1344.6603893122526</v>
      </c>
      <c r="H12" s="20">
        <v>770.9152000000001</v>
      </c>
      <c r="I12" s="20">
        <v>0</v>
      </c>
      <c r="J12" s="20">
        <v>0</v>
      </c>
      <c r="K12" s="20">
        <v>8699.37607</v>
      </c>
      <c r="L12" s="20">
        <v>120.48795594431104</v>
      </c>
      <c r="M12" s="20">
        <v>20.60388</v>
      </c>
      <c r="N12" s="20">
        <v>4801.933884000001</v>
      </c>
      <c r="O12" s="20">
        <f t="shared" si="2"/>
        <v>19539.342608946445</v>
      </c>
      <c r="P12" s="22">
        <f t="shared" si="1"/>
        <v>-32983.65739105355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3742.062504985101</v>
      </c>
      <c r="F13" s="20">
        <v>546.736337318788</v>
      </c>
      <c r="G13" s="20">
        <v>1507.1526036323085</v>
      </c>
      <c r="H13" s="20">
        <v>848.0067200000002</v>
      </c>
      <c r="I13" s="20">
        <v>0</v>
      </c>
      <c r="J13" s="20">
        <v>0</v>
      </c>
      <c r="K13" s="20">
        <v>9569.313677000002</v>
      </c>
      <c r="L13" s="20">
        <v>135.07289709170877</v>
      </c>
      <c r="M13" s="20">
        <v>22.664268000000003</v>
      </c>
      <c r="N13" s="20">
        <v>5282.127272400001</v>
      </c>
      <c r="O13" s="20">
        <f t="shared" si="2"/>
        <v>21653.13628042791</v>
      </c>
      <c r="P13" s="22">
        <f t="shared" si="1"/>
        <v>-30869.86371957209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4195.036003885953</v>
      </c>
      <c r="F14" s="20">
        <v>674.2101390055752</v>
      </c>
      <c r="G14" s="20">
        <v>1689.2807943851494</v>
      </c>
      <c r="H14" s="20">
        <v>932.8073920000003</v>
      </c>
      <c r="I14" s="20">
        <v>0</v>
      </c>
      <c r="J14" s="20">
        <v>0</v>
      </c>
      <c r="K14" s="20">
        <v>10526.245044700001</v>
      </c>
      <c r="L14" s="20">
        <v>151.42335695730355</v>
      </c>
      <c r="M14" s="20">
        <v>24.930694800000005</v>
      </c>
      <c r="N14" s="20">
        <v>5810.339999640001</v>
      </c>
      <c r="O14" s="20">
        <f t="shared" si="2"/>
        <v>24004.273425373984</v>
      </c>
      <c r="P14" s="22">
        <f t="shared" si="1"/>
        <v>-28518.726574626016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4702.8423953026395</v>
      </c>
      <c r="F15" s="20">
        <v>831.4051236588517</v>
      </c>
      <c r="G15" s="20">
        <v>1893.4178233850005</v>
      </c>
      <c r="H15" s="20">
        <v>1026.0881312000004</v>
      </c>
      <c r="I15" s="20">
        <v>0</v>
      </c>
      <c r="J15" s="20">
        <v>0</v>
      </c>
      <c r="K15" s="20">
        <v>11578.869549170005</v>
      </c>
      <c r="L15" s="20">
        <v>169.75305624986285</v>
      </c>
      <c r="M15" s="20">
        <v>27.423764280000007</v>
      </c>
      <c r="N15" s="20">
        <v>6391.373999604003</v>
      </c>
      <c r="O15" s="20">
        <f t="shared" si="2"/>
        <v>26621.173842850363</v>
      </c>
      <c r="P15" s="22">
        <f t="shared" si="1"/>
        <v>-25901.826157149637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5268.64283747624</v>
      </c>
      <c r="F16" s="20">
        <v>1024.5749080597895</v>
      </c>
      <c r="G16" s="20">
        <v>2121.3490295369033</v>
      </c>
      <c r="H16" s="20">
        <v>1128.6969443200005</v>
      </c>
      <c r="I16" s="20">
        <v>0</v>
      </c>
      <c r="J16" s="20">
        <v>0</v>
      </c>
      <c r="K16" s="20">
        <v>12736.756504087007</v>
      </c>
      <c r="L16" s="20">
        <v>190.17609963792682</v>
      </c>
      <c r="M16" s="20">
        <v>30.166140708000015</v>
      </c>
      <c r="N16" s="20">
        <v>7030.511399564403</v>
      </c>
      <c r="O16" s="20">
        <f t="shared" si="2"/>
        <v>29530.87386339027</v>
      </c>
      <c r="P16" s="22">
        <f t="shared" si="1"/>
        <v>-22992.12613660973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5902.514908697676</v>
      </c>
      <c r="F17" s="20">
        <v>1262.62602003917</v>
      </c>
      <c r="G17" s="20">
        <v>2376.7187831114675</v>
      </c>
      <c r="H17" s="20">
        <v>1241.5666387520007</v>
      </c>
      <c r="I17" s="20">
        <v>0</v>
      </c>
      <c r="J17" s="20">
        <v>0</v>
      </c>
      <c r="K17" s="20">
        <v>14010.432154495713</v>
      </c>
      <c r="L17" s="20">
        <v>213.05624579565176</v>
      </c>
      <c r="M17" s="20">
        <v>33.18275477880002</v>
      </c>
      <c r="N17" s="20">
        <v>7733.562539520843</v>
      </c>
      <c r="O17" s="20">
        <f t="shared" si="2"/>
        <v>32773.660045191325</v>
      </c>
      <c r="P17" s="22">
        <f t="shared" si="1"/>
        <v>-19749.339954808675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6612.648328122408</v>
      </c>
      <c r="F18" s="20">
        <v>1555.986247653181</v>
      </c>
      <c r="G18" s="20">
        <v>2662.8301591784743</v>
      </c>
      <c r="H18" s="20">
        <v>1365.7233026272008</v>
      </c>
      <c r="I18" s="20">
        <v>0</v>
      </c>
      <c r="J18" s="20">
        <v>0</v>
      </c>
      <c r="K18" s="20">
        <v>15411.475369945289</v>
      </c>
      <c r="L18" s="20">
        <v>238.68910953204252</v>
      </c>
      <c r="M18" s="20">
        <v>36.501030256680025</v>
      </c>
      <c r="N18" s="20">
        <v>8506.91879347293</v>
      </c>
      <c r="O18" s="20">
        <f t="shared" si="2"/>
        <v>36390.77234078821</v>
      </c>
      <c r="P18" s="22">
        <f t="shared" si="1"/>
        <v>-16132.227659211792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7408.218122608045</v>
      </c>
      <c r="F19" s="20">
        <v>1917.5061852764215</v>
      </c>
      <c r="G19" s="20">
        <v>2983.383859720988</v>
      </c>
      <c r="H19" s="20">
        <v>1502.295632889921</v>
      </c>
      <c r="I19" s="20">
        <v>0</v>
      </c>
      <c r="J19" s="20">
        <v>0</v>
      </c>
      <c r="K19" s="20">
        <v>16952.622906939807</v>
      </c>
      <c r="L19" s="20">
        <v>267.40587116728364</v>
      </c>
      <c r="M19" s="20">
        <v>40.151133282348034</v>
      </c>
      <c r="N19" s="20">
        <v>9357.610672820221</v>
      </c>
      <c r="O19" s="20">
        <f t="shared" si="2"/>
        <v>40429.19438470503</v>
      </c>
      <c r="P19" s="22">
        <f t="shared" si="1"/>
        <v>-12093.805615294972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8299.503169396632</v>
      </c>
      <c r="F20" s="20">
        <v>2363.0221516858314</v>
      </c>
      <c r="G20" s="20">
        <v>3342.526080292581</v>
      </c>
      <c r="H20" s="20">
        <v>1652.5251961789131</v>
      </c>
      <c r="I20" s="20">
        <v>0</v>
      </c>
      <c r="J20" s="20">
        <v>0</v>
      </c>
      <c r="K20" s="20">
        <v>18647.885197633794</v>
      </c>
      <c r="L20" s="20">
        <v>299.5775554306744</v>
      </c>
      <c r="M20" s="20">
        <v>44.16624661058284</v>
      </c>
      <c r="N20" s="20">
        <v>10293.371740102242</v>
      </c>
      <c r="O20" s="20">
        <f t="shared" si="2"/>
        <v>44942.577337331255</v>
      </c>
      <c r="P20" s="22">
        <f t="shared" si="1"/>
        <v>-7580.422662668745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9287.939027623712</v>
      </c>
      <c r="F21" s="20">
        <v>2908.8929469154655</v>
      </c>
      <c r="G21" s="20">
        <v>3741.3825940776123</v>
      </c>
      <c r="H21" s="20">
        <v>1817.7777157968046</v>
      </c>
      <c r="I21" s="20">
        <v>0</v>
      </c>
      <c r="J21" s="20">
        <v>0</v>
      </c>
      <c r="K21" s="20">
        <v>20512.67371739717</v>
      </c>
      <c r="L21" s="20">
        <v>335.25598003801355</v>
      </c>
      <c r="M21" s="20">
        <v>48.58287127164112</v>
      </c>
      <c r="N21" s="20">
        <v>11322.70891411247</v>
      </c>
      <c r="O21" s="20">
        <f t="shared" si="2"/>
        <v>49975.21376723288</v>
      </c>
      <c r="P21" s="22">
        <f t="shared" si="1"/>
        <v>-2547.7862327671173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10394.097107211699</v>
      </c>
      <c r="F22" s="20">
        <v>3580.864090760938</v>
      </c>
      <c r="G22" s="20">
        <v>4187.8338056353</v>
      </c>
      <c r="H22" s="20">
        <v>1999.555487376485</v>
      </c>
      <c r="I22" s="20">
        <v>0</v>
      </c>
      <c r="J22" s="20">
        <v>0</v>
      </c>
      <c r="K22" s="20">
        <v>22563.94108913689</v>
      </c>
      <c r="L22" s="20">
        <v>375.1836873524441</v>
      </c>
      <c r="M22" s="20">
        <v>53.44115839880523</v>
      </c>
      <c r="N22" s="20">
        <v>12454.979805523715</v>
      </c>
      <c r="O22" s="20">
        <f t="shared" si="2"/>
        <v>55609.89623139627</v>
      </c>
      <c r="P22" s="22">
        <f t="shared" si="1"/>
        <v>3086.8962313962693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11631.998500987445</v>
      </c>
      <c r="F23" s="20">
        <v>4408.066024106938</v>
      </c>
      <c r="G23" s="20">
        <v>4687.559088820101</v>
      </c>
      <c r="H23" s="20">
        <v>2199.5110361141337</v>
      </c>
      <c r="I23" s="20">
        <v>0</v>
      </c>
      <c r="J23" s="20">
        <v>0</v>
      </c>
      <c r="K23" s="20">
        <v>24820.335198050583</v>
      </c>
      <c r="L23" s="20">
        <v>419.8667805259025</v>
      </c>
      <c r="M23" s="20">
        <v>58.785274238685766</v>
      </c>
      <c r="N23" s="20">
        <v>13700.47778607609</v>
      </c>
      <c r="O23" s="20">
        <f t="shared" si="2"/>
        <v>61926.59968891987</v>
      </c>
      <c r="P23" s="22">
        <f t="shared" si="1"/>
        <v>9403.599688919872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13017.33431012332</v>
      </c>
      <c r="F24" s="20">
        <v>5426.358677851233</v>
      </c>
      <c r="G24" s="20">
        <v>5246.91552506501</v>
      </c>
      <c r="H24" s="20">
        <v>2419.4621397255473</v>
      </c>
      <c r="I24" s="20">
        <v>0</v>
      </c>
      <c r="J24" s="20">
        <v>0</v>
      </c>
      <c r="K24" s="20">
        <v>27302.36871785564</v>
      </c>
      <c r="L24" s="20">
        <v>469.87164306777333</v>
      </c>
      <c r="M24" s="20">
        <v>64.66380166255435</v>
      </c>
      <c r="N24" s="20">
        <v>15070.5255646837</v>
      </c>
      <c r="O24" s="20">
        <f t="shared" si="2"/>
        <v>69017.50038003478</v>
      </c>
      <c r="P24" s="22">
        <f t="shared" si="1"/>
        <v>16494.500380034777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14567.66455966193</v>
      </c>
      <c r="F25" s="20">
        <v>6679.886083255885</v>
      </c>
      <c r="G25" s="20">
        <v>5873.018772782619</v>
      </c>
      <c r="H25" s="20">
        <v>2661.4083536981025</v>
      </c>
      <c r="I25" s="20">
        <v>0</v>
      </c>
      <c r="J25" s="20">
        <v>0</v>
      </c>
      <c r="K25" s="20">
        <v>30032.60558964122</v>
      </c>
      <c r="L25" s="20">
        <v>525.8321188682505</v>
      </c>
      <c r="M25" s="20">
        <v>71.13018182880977</v>
      </c>
      <c r="N25" s="20">
        <v>16577.57812115207</v>
      </c>
      <c r="O25" s="20">
        <f t="shared" si="2"/>
        <v>76989.12378088888</v>
      </c>
      <c r="P25" s="22">
        <f t="shared" si="1"/>
        <v>24466.123780888884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16302.640807686004</v>
      </c>
      <c r="F26" s="20">
        <v>8222.990123512242</v>
      </c>
      <c r="G26" s="20">
        <v>6573.833586739455</v>
      </c>
      <c r="H26" s="20">
        <v>2927.5491890679127</v>
      </c>
      <c r="I26" s="20">
        <v>0</v>
      </c>
      <c r="J26" s="20">
        <v>0</v>
      </c>
      <c r="K26" s="20">
        <v>33035.86614860534</v>
      </c>
      <c r="L26" s="20">
        <v>588.4575474637699</v>
      </c>
      <c r="M26" s="20">
        <v>78.24320001169077</v>
      </c>
      <c r="N26" s="20">
        <v>18235.33593326728</v>
      </c>
      <c r="O26" s="20">
        <f t="shared" si="2"/>
        <v>85964.9165363537</v>
      </c>
      <c r="P26" s="22">
        <f t="shared" si="1"/>
        <v>33441.9165363537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18244.255270465765</v>
      </c>
      <c r="F27" s="20">
        <v>10122.566395013848</v>
      </c>
      <c r="G27" s="20">
        <v>7358.2751389143705</v>
      </c>
      <c r="H27" s="20">
        <v>3220.3041079747045</v>
      </c>
      <c r="I27" s="20">
        <v>0</v>
      </c>
      <c r="J27" s="20">
        <v>0</v>
      </c>
      <c r="K27" s="20">
        <v>36339.45276346588</v>
      </c>
      <c r="L27" s="20">
        <v>658.5417564189778</v>
      </c>
      <c r="M27" s="20">
        <v>86.06752001285987</v>
      </c>
      <c r="N27" s="20">
        <v>20058.869526594008</v>
      </c>
      <c r="O27" s="20">
        <f t="shared" si="2"/>
        <v>96088.33247886042</v>
      </c>
      <c r="P27" s="22">
        <f t="shared" si="1"/>
        <v>43565.33247886042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20417.11962211567</v>
      </c>
      <c r="F28" s="20">
        <v>12460.964314329212</v>
      </c>
      <c r="G28" s="20">
        <v>8236.32242975901</v>
      </c>
      <c r="H28" s="20">
        <v>3542.334518772175</v>
      </c>
      <c r="I28" s="20">
        <v>0</v>
      </c>
      <c r="J28" s="20">
        <v>0</v>
      </c>
      <c r="K28" s="20">
        <v>39973.39803981248</v>
      </c>
      <c r="L28" s="20">
        <v>736.9731248351018</v>
      </c>
      <c r="M28" s="20">
        <v>94.67427201414586</v>
      </c>
      <c r="N28" s="20">
        <v>22064.75647925341</v>
      </c>
      <c r="O28" s="20">
        <f t="shared" si="2"/>
        <v>107526.5428008912</v>
      </c>
      <c r="P28" s="22">
        <f t="shared" si="1"/>
        <v>55003.5428008912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22848.777003542193</v>
      </c>
      <c r="F29" s="25">
        <v>15339.557202509664</v>
      </c>
      <c r="G29" s="25">
        <v>9219.145232582308</v>
      </c>
      <c r="H29" s="25">
        <v>3896.567970649393</v>
      </c>
      <c r="I29" s="25">
        <v>0</v>
      </c>
      <c r="J29" s="25">
        <v>0</v>
      </c>
      <c r="K29" s="25">
        <v>43970.73784379372</v>
      </c>
      <c r="L29" s="25">
        <v>824.745845575646</v>
      </c>
      <c r="M29" s="25">
        <v>104.14169921556045</v>
      </c>
      <c r="N29" s="25">
        <v>24271.23212717876</v>
      </c>
      <c r="O29" s="25">
        <f t="shared" si="2"/>
        <v>120474.90492504725</v>
      </c>
      <c r="P29" s="26">
        <f t="shared" si="1"/>
        <v>67951.90492504725</v>
      </c>
    </row>
    <row r="30" spans="1:16" ht="12.75">
      <c r="A30" s="60" t="s">
        <v>41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58" t="s">
        <v>63</v>
      </c>
      <c r="N30" s="57"/>
      <c r="O30" s="57"/>
      <c r="P30" s="59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-3242924.9784830716</v>
      </c>
      <c r="L32" s="53"/>
      <c r="M32" s="52">
        <f>NPV(M31,P5:P29)</f>
        <v>-3135193.9683304625</v>
      </c>
      <c r="N32" s="53"/>
      <c r="O32" s="52">
        <f>NPV(O31,P5:P29)</f>
        <v>-3028779.8424294894</v>
      </c>
      <c r="P32" s="77"/>
    </row>
  </sheetData>
  <mergeCells count="15">
    <mergeCell ref="M30:P30"/>
    <mergeCell ref="I32:J32"/>
    <mergeCell ref="K32:L32"/>
    <mergeCell ref="I31:J31"/>
    <mergeCell ref="I30:L30"/>
    <mergeCell ref="E2:O2"/>
    <mergeCell ref="P2:P3"/>
    <mergeCell ref="O31:P31"/>
    <mergeCell ref="M31:N31"/>
    <mergeCell ref="K31:L31"/>
    <mergeCell ref="A30:H32"/>
    <mergeCell ref="M32:N32"/>
    <mergeCell ref="O32:P32"/>
    <mergeCell ref="B2:D2"/>
    <mergeCell ref="A2:A3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6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74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30" t="s">
        <v>22</v>
      </c>
      <c r="C3" s="30" t="s">
        <v>23</v>
      </c>
      <c r="D3" s="30" t="s">
        <v>15</v>
      </c>
      <c r="E3" s="30" t="s">
        <v>27</v>
      </c>
      <c r="F3" s="30" t="s">
        <v>28</v>
      </c>
      <c r="G3" s="30" t="s">
        <v>29</v>
      </c>
      <c r="H3" s="30" t="s">
        <v>30</v>
      </c>
      <c r="I3" s="30" t="s">
        <v>31</v>
      </c>
      <c r="J3" s="30" t="s">
        <v>32</v>
      </c>
      <c r="K3" s="30" t="s">
        <v>33</v>
      </c>
      <c r="L3" s="30" t="s">
        <v>34</v>
      </c>
      <c r="M3" s="30" t="s">
        <v>35</v>
      </c>
      <c r="N3" s="30" t="s">
        <v>36</v>
      </c>
      <c r="O3" s="3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v>106270</v>
      </c>
      <c r="C5" s="19">
        <v>0</v>
      </c>
      <c r="D5" s="20">
        <f aca="true" t="shared" si="0" ref="D5:D29">C5+B5</f>
        <v>106270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</v>
      </c>
    </row>
    <row r="6" spans="1:16" ht="12.75">
      <c r="A6" s="21">
        <v>2006</v>
      </c>
      <c r="B6" s="20">
        <v>138960</v>
      </c>
      <c r="C6" s="19">
        <v>0</v>
      </c>
      <c r="D6" s="20">
        <f t="shared" si="0"/>
        <v>138960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-138960</v>
      </c>
    </row>
    <row r="7" spans="1:16" ht="12.75">
      <c r="A7" s="21">
        <v>2007</v>
      </c>
      <c r="B7" s="20">
        <v>844326</v>
      </c>
      <c r="C7" s="19">
        <v>0</v>
      </c>
      <c r="D7" s="20">
        <f t="shared" si="0"/>
        <v>844326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</v>
      </c>
    </row>
    <row r="8" spans="1:16" ht="12.75">
      <c r="A8" s="21">
        <v>2008</v>
      </c>
      <c r="B8" s="20">
        <v>1034372</v>
      </c>
      <c r="C8" s="19">
        <v>0</v>
      </c>
      <c r="D8" s="20">
        <f t="shared" si="0"/>
        <v>1034372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-1034372</v>
      </c>
    </row>
    <row r="9" spans="1:16" ht="12.75">
      <c r="A9" s="21">
        <v>2009</v>
      </c>
      <c r="B9" s="20">
        <v>1315684</v>
      </c>
      <c r="C9" s="19">
        <v>0</v>
      </c>
      <c r="D9" s="20">
        <f t="shared" si="0"/>
        <v>1315684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2897.51767968</v>
      </c>
      <c r="F10" s="20">
        <v>346.979248128</v>
      </c>
      <c r="G10" s="20">
        <v>1167.648</v>
      </c>
      <c r="H10" s="20">
        <v>695.04</v>
      </c>
      <c r="I10" s="20">
        <v>0</v>
      </c>
      <c r="J10" s="20">
        <v>0</v>
      </c>
      <c r="K10" s="20">
        <v>7843.164</v>
      </c>
      <c r="L10" s="20">
        <v>104.58834047999999</v>
      </c>
      <c r="M10" s="20">
        <v>18.576</v>
      </c>
      <c r="N10" s="20">
        <v>4329.3168</v>
      </c>
      <c r="O10" s="20">
        <f aca="true" t="shared" si="2" ref="O10:O29">SUM(E10:N10)</f>
        <v>17402.830068288</v>
      </c>
      <c r="P10" s="22">
        <f t="shared" si="1"/>
        <v>-35120.169931712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3543.554199615578</v>
      </c>
      <c r="F11" s="20">
        <v>509.21094860172303</v>
      </c>
      <c r="G11" s="20">
        <v>1427.7268174425785</v>
      </c>
      <c r="H11" s="20">
        <v>834.048</v>
      </c>
      <c r="I11" s="20">
        <v>0</v>
      </c>
      <c r="J11" s="20">
        <v>0</v>
      </c>
      <c r="K11" s="20">
        <v>9411.7968</v>
      </c>
      <c r="L11" s="20">
        <v>127.90757265704015</v>
      </c>
      <c r="M11" s="20">
        <v>22.2912</v>
      </c>
      <c r="N11" s="20">
        <v>5195.18016</v>
      </c>
      <c r="O11" s="20">
        <f t="shared" si="2"/>
        <v>21071.71569831692</v>
      </c>
      <c r="P11" s="22">
        <f t="shared" si="1"/>
        <v>-31451.28430168308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4333.633122075077</v>
      </c>
      <c r="F12" s="20">
        <v>747.2949390382436</v>
      </c>
      <c r="G12" s="20">
        <v>1745.7349006247723</v>
      </c>
      <c r="H12" s="20">
        <v>1000.8575999999999</v>
      </c>
      <c r="I12" s="20">
        <v>0</v>
      </c>
      <c r="J12" s="20">
        <v>0</v>
      </c>
      <c r="K12" s="20">
        <v>11294.15616</v>
      </c>
      <c r="L12" s="20">
        <v>156.4261366429522</v>
      </c>
      <c r="M12" s="20">
        <v>26.749439999999996</v>
      </c>
      <c r="N12" s="20">
        <v>6234.216192</v>
      </c>
      <c r="O12" s="20">
        <f t="shared" si="2"/>
        <v>25539.068490381047</v>
      </c>
      <c r="P12" s="22">
        <f t="shared" si="1"/>
        <v>-26983.931509618953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5299.8707809146235</v>
      </c>
      <c r="F13" s="20">
        <v>1096.6964209202058</v>
      </c>
      <c r="G13" s="20">
        <v>2134.5752604958366</v>
      </c>
      <c r="H13" s="20">
        <v>1201.0291200000001</v>
      </c>
      <c r="I13" s="20">
        <v>0</v>
      </c>
      <c r="J13" s="20">
        <v>0</v>
      </c>
      <c r="K13" s="20">
        <v>13552.987392</v>
      </c>
      <c r="L13" s="20">
        <v>191.30329855157922</v>
      </c>
      <c r="M13" s="20">
        <v>32.099328</v>
      </c>
      <c r="N13" s="20">
        <v>7481.059430399999</v>
      </c>
      <c r="O13" s="20">
        <f t="shared" si="2"/>
        <v>30989.621031282244</v>
      </c>
      <c r="P13" s="22">
        <f t="shared" si="1"/>
        <v>-21533.378968717756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6481.544348802236</v>
      </c>
      <c r="F14" s="20">
        <v>1609.4625963254794</v>
      </c>
      <c r="G14" s="20">
        <v>2610.024890428779</v>
      </c>
      <c r="H14" s="20">
        <v>1441.2349439999998</v>
      </c>
      <c r="I14" s="20">
        <v>0</v>
      </c>
      <c r="J14" s="20">
        <v>0</v>
      </c>
      <c r="K14" s="20">
        <v>16263.584870399996</v>
      </c>
      <c r="L14" s="20">
        <v>233.95680100340726</v>
      </c>
      <c r="M14" s="20">
        <v>38.519193599999994</v>
      </c>
      <c r="N14" s="20">
        <v>8977.271316479997</v>
      </c>
      <c r="O14" s="20">
        <f t="shared" si="2"/>
        <v>37655.5989610399</v>
      </c>
      <c r="P14" s="22">
        <f t="shared" si="1"/>
        <v>-14867.401038960103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7926.688466778929</v>
      </c>
      <c r="F15" s="20">
        <v>2361.9757107479163</v>
      </c>
      <c r="G15" s="20">
        <v>3191.374909439999</v>
      </c>
      <c r="H15" s="20">
        <v>1729.4819327999999</v>
      </c>
      <c r="I15" s="20">
        <v>0</v>
      </c>
      <c r="J15" s="20">
        <v>0</v>
      </c>
      <c r="K15" s="20">
        <v>19516.301844479996</v>
      </c>
      <c r="L15" s="20">
        <v>286.1204948140031</v>
      </c>
      <c r="M15" s="20">
        <v>46.223032319999994</v>
      </c>
      <c r="N15" s="20">
        <v>10772.725579775999</v>
      </c>
      <c r="O15" s="20">
        <f t="shared" si="2"/>
        <v>45830.89197115684</v>
      </c>
      <c r="P15" s="22">
        <f t="shared" si="1"/>
        <v>-6692.108028843162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9687.65546179195</v>
      </c>
      <c r="F16" s="20">
        <v>3464.045343638224</v>
      </c>
      <c r="G16" s="20">
        <v>3900.6057435095427</v>
      </c>
      <c r="H16" s="20">
        <v>2075.3783193599998</v>
      </c>
      <c r="I16" s="20">
        <v>0</v>
      </c>
      <c r="J16" s="20">
        <v>0</v>
      </c>
      <c r="K16" s="20">
        <v>23419.562213375993</v>
      </c>
      <c r="L16" s="20">
        <v>349.6840813073924</v>
      </c>
      <c r="M16" s="20">
        <v>55.46763878399999</v>
      </c>
      <c r="N16" s="20">
        <v>12927.270695731197</v>
      </c>
      <c r="O16" s="20">
        <f t="shared" si="2"/>
        <v>55879.669497498304</v>
      </c>
      <c r="P16" s="22">
        <f t="shared" si="1"/>
        <v>3356.669497498304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11839.833083972431</v>
      </c>
      <c r="F17" s="20">
        <v>5080.327494190478</v>
      </c>
      <c r="G17" s="20">
        <v>4767.451521065386</v>
      </c>
      <c r="H17" s="20">
        <v>2490.4539832319992</v>
      </c>
      <c r="I17" s="20">
        <v>0</v>
      </c>
      <c r="J17" s="20">
        <v>0</v>
      </c>
      <c r="K17" s="20">
        <v>28103.474656051192</v>
      </c>
      <c r="L17" s="20">
        <v>427.3687448042199</v>
      </c>
      <c r="M17" s="20">
        <v>66.56116654079999</v>
      </c>
      <c r="N17" s="20">
        <v>15512.724834877436</v>
      </c>
      <c r="O17" s="20">
        <f t="shared" si="2"/>
        <v>68288.19548473394</v>
      </c>
      <c r="P17" s="22">
        <f t="shared" si="1"/>
        <v>15765.195484733937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14470.13139789436</v>
      </c>
      <c r="F18" s="20">
        <v>7450.747576985972</v>
      </c>
      <c r="G18" s="20">
        <v>5826.9395833014305</v>
      </c>
      <c r="H18" s="20">
        <v>2988.5447798783994</v>
      </c>
      <c r="I18" s="20">
        <v>0</v>
      </c>
      <c r="J18" s="20">
        <v>0</v>
      </c>
      <c r="K18" s="20">
        <v>33724.16958726144</v>
      </c>
      <c r="L18" s="20">
        <v>522.3115772672193</v>
      </c>
      <c r="M18" s="20">
        <v>79.87339984895996</v>
      </c>
      <c r="N18" s="20">
        <v>18615.26980185292</v>
      </c>
      <c r="O18" s="20">
        <f t="shared" si="2"/>
        <v>83677.9877042907</v>
      </c>
      <c r="P18" s="22">
        <f t="shared" si="1"/>
        <v>31154.987704290703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17684.768121915797</v>
      </c>
      <c r="F19" s="20">
        <v>10927.177337430132</v>
      </c>
      <c r="G19" s="20">
        <v>7121.881524630059</v>
      </c>
      <c r="H19" s="20">
        <v>3586.253735854079</v>
      </c>
      <c r="I19" s="20">
        <v>0</v>
      </c>
      <c r="J19" s="20">
        <v>0</v>
      </c>
      <c r="K19" s="20">
        <v>40469.003504713735</v>
      </c>
      <c r="L19" s="20">
        <v>638.3465966803179</v>
      </c>
      <c r="M19" s="20">
        <v>95.84807981875196</v>
      </c>
      <c r="N19" s="20">
        <v>22338.323762223506</v>
      </c>
      <c r="O19" s="20">
        <f t="shared" si="2"/>
        <v>102861.60266326637</v>
      </c>
      <c r="P19" s="22">
        <f t="shared" si="1"/>
        <v>50338.60266326637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21613.557952983116</v>
      </c>
      <c r="F20" s="20">
        <v>16025.667671767127</v>
      </c>
      <c r="G20" s="20">
        <v>8704.603115539658</v>
      </c>
      <c r="H20" s="20">
        <v>4303.504483024894</v>
      </c>
      <c r="I20" s="20">
        <v>0</v>
      </c>
      <c r="J20" s="20">
        <v>0</v>
      </c>
      <c r="K20" s="20">
        <v>48562.80420565645</v>
      </c>
      <c r="L20" s="20">
        <v>780.1595738392392</v>
      </c>
      <c r="M20" s="20">
        <v>115.01769578250236</v>
      </c>
      <c r="N20" s="20">
        <v>26805.988514668203</v>
      </c>
      <c r="O20" s="20">
        <f t="shared" si="2"/>
        <v>126911.30321326118</v>
      </c>
      <c r="P20" s="22">
        <f t="shared" si="1"/>
        <v>74388.30321326118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26386.51815087508</v>
      </c>
      <c r="F21" s="20">
        <v>23477.573020833162</v>
      </c>
      <c r="G21" s="20">
        <v>10629.059841411847</v>
      </c>
      <c r="H21" s="20">
        <v>5164.205379629872</v>
      </c>
      <c r="I21" s="20">
        <v>0</v>
      </c>
      <c r="J21" s="20">
        <v>0</v>
      </c>
      <c r="K21" s="20">
        <v>58275.36504678775</v>
      </c>
      <c r="L21" s="20">
        <v>952.4435912157076</v>
      </c>
      <c r="M21" s="20">
        <v>138.02123493900282</v>
      </c>
      <c r="N21" s="20">
        <v>32167.186217601848</v>
      </c>
      <c r="O21" s="20">
        <f t="shared" si="2"/>
        <v>157190.37248329428</v>
      </c>
      <c r="P21" s="22">
        <f t="shared" si="1"/>
        <v>104667.37248329428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32213.510974612753</v>
      </c>
      <c r="F22" s="20">
        <v>34394.61251413952</v>
      </c>
      <c r="G22" s="20">
        <v>12978.984982167087</v>
      </c>
      <c r="H22" s="20">
        <v>6197.046455555848</v>
      </c>
      <c r="I22" s="20">
        <v>0</v>
      </c>
      <c r="J22" s="20">
        <v>0</v>
      </c>
      <c r="K22" s="20">
        <v>69930.43805614531</v>
      </c>
      <c r="L22" s="20">
        <v>1162.7738037619504</v>
      </c>
      <c r="M22" s="20">
        <v>165.6254819268034</v>
      </c>
      <c r="N22" s="20">
        <v>38600.623461122224</v>
      </c>
      <c r="O22" s="20">
        <f t="shared" si="2"/>
        <v>195643.6157294315</v>
      </c>
      <c r="P22" s="22">
        <f t="shared" si="1"/>
        <v>143120.6157294315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39327.305331784504</v>
      </c>
      <c r="F23" s="20">
        <v>50388.078313276426</v>
      </c>
      <c r="G23" s="20">
        <v>15848.443200122505</v>
      </c>
      <c r="H23" s="20">
        <v>7436.455746667018</v>
      </c>
      <c r="I23" s="20">
        <v>0</v>
      </c>
      <c r="J23" s="20">
        <v>0</v>
      </c>
      <c r="K23" s="20">
        <v>83916.52566737437</v>
      </c>
      <c r="L23" s="20">
        <v>1419.5522011985975</v>
      </c>
      <c r="M23" s="20">
        <v>198.7505783121641</v>
      </c>
      <c r="N23" s="20">
        <v>46320.748153346656</v>
      </c>
      <c r="O23" s="20">
        <f t="shared" si="2"/>
        <v>244855.85919208225</v>
      </c>
      <c r="P23" s="22">
        <f t="shared" si="1"/>
        <v>192332.85919208225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48012.074558579276</v>
      </c>
      <c r="F24" s="20">
        <v>73818.5182767248</v>
      </c>
      <c r="G24" s="20">
        <v>19352.295438558333</v>
      </c>
      <c r="H24" s="20">
        <v>8923.74689600042</v>
      </c>
      <c r="I24" s="20">
        <v>0</v>
      </c>
      <c r="J24" s="20">
        <v>0</v>
      </c>
      <c r="K24" s="20">
        <v>100699.83080084923</v>
      </c>
      <c r="L24" s="20">
        <v>1733.0362593813081</v>
      </c>
      <c r="M24" s="20">
        <v>238.50069397459689</v>
      </c>
      <c r="N24" s="20">
        <v>55584.89778401599</v>
      </c>
      <c r="O24" s="20">
        <f t="shared" si="2"/>
        <v>308362.900708084</v>
      </c>
      <c r="P24" s="22">
        <f t="shared" si="1"/>
        <v>255839.900708084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58614.74863815873</v>
      </c>
      <c r="F25" s="20">
        <v>108144.14332425597</v>
      </c>
      <c r="G25" s="20">
        <v>23630.79666641017</v>
      </c>
      <c r="H25" s="20">
        <v>10708.496275200505</v>
      </c>
      <c r="I25" s="20">
        <v>0</v>
      </c>
      <c r="J25" s="20">
        <v>0</v>
      </c>
      <c r="K25" s="20">
        <v>120839.79696101906</v>
      </c>
      <c r="L25" s="20">
        <v>2115.7487081819636</v>
      </c>
      <c r="M25" s="20">
        <v>286.20083276951624</v>
      </c>
      <c r="N25" s="20">
        <v>66701.87734081918</v>
      </c>
      <c r="O25" s="20">
        <f t="shared" si="2"/>
        <v>391041.8087468151</v>
      </c>
      <c r="P25" s="22">
        <f t="shared" si="1"/>
        <v>338518.8087468151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71558.873483777</v>
      </c>
      <c r="F26" s="20">
        <v>158431.24640027407</v>
      </c>
      <c r="G26" s="20">
        <v>28855.210115106715</v>
      </c>
      <c r="H26" s="20">
        <v>12850.195530240606</v>
      </c>
      <c r="I26" s="20">
        <v>0</v>
      </c>
      <c r="J26" s="20">
        <v>0</v>
      </c>
      <c r="K26" s="20">
        <v>145007.7563532229</v>
      </c>
      <c r="L26" s="20">
        <v>2582.977793982974</v>
      </c>
      <c r="M26" s="20">
        <v>343.44099932341953</v>
      </c>
      <c r="N26" s="20">
        <v>80042.25280898302</v>
      </c>
      <c r="O26" s="20">
        <f t="shared" si="2"/>
        <v>499671.9534849108</v>
      </c>
      <c r="P26" s="22">
        <f t="shared" si="1"/>
        <v>447148.9534849108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87361.53096170229</v>
      </c>
      <c r="F27" s="20">
        <v>232101.96970196493</v>
      </c>
      <c r="G27" s="20">
        <v>35234.662738666055</v>
      </c>
      <c r="H27" s="20">
        <v>15420.234636288727</v>
      </c>
      <c r="I27" s="20">
        <v>0</v>
      </c>
      <c r="J27" s="20">
        <v>0</v>
      </c>
      <c r="K27" s="20">
        <v>174009.30762386738</v>
      </c>
      <c r="L27" s="20">
        <v>3153.388022152005</v>
      </c>
      <c r="M27" s="20">
        <v>412.12919918810337</v>
      </c>
      <c r="N27" s="20">
        <v>96050.7033707796</v>
      </c>
      <c r="O27" s="20">
        <f t="shared" si="2"/>
        <v>643743.9262546091</v>
      </c>
      <c r="P27" s="22">
        <f t="shared" si="1"/>
        <v>591220.9262546091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106653.99560716534</v>
      </c>
      <c r="F28" s="20">
        <v>340029.7891005563</v>
      </c>
      <c r="G28" s="20">
        <v>43024.51631282988</v>
      </c>
      <c r="H28" s="20">
        <v>18504.281563546472</v>
      </c>
      <c r="I28" s="20">
        <v>0</v>
      </c>
      <c r="J28" s="20">
        <v>0</v>
      </c>
      <c r="K28" s="20">
        <v>208811.16914864094</v>
      </c>
      <c r="L28" s="20">
        <v>3849.7657785979613</v>
      </c>
      <c r="M28" s="20">
        <v>494.55503902572406</v>
      </c>
      <c r="N28" s="20">
        <v>115260.84404493553</v>
      </c>
      <c r="O28" s="20">
        <f t="shared" si="2"/>
        <v>836628.9165952981</v>
      </c>
      <c r="P28" s="22">
        <f t="shared" si="1"/>
        <v>784105.9165952981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130206.95326993635</v>
      </c>
      <c r="F29" s="25">
        <v>498144.4073361426</v>
      </c>
      <c r="G29" s="25">
        <v>52536.5892582131</v>
      </c>
      <c r="H29" s="25">
        <v>22205.137876255765</v>
      </c>
      <c r="I29" s="25">
        <v>0</v>
      </c>
      <c r="J29" s="25">
        <v>0</v>
      </c>
      <c r="K29" s="25">
        <v>250573.40297836912</v>
      </c>
      <c r="L29" s="25">
        <v>4699.929618018251</v>
      </c>
      <c r="M29" s="25">
        <v>593.4660468308688</v>
      </c>
      <c r="N29" s="25">
        <v>138313.01285392264</v>
      </c>
      <c r="O29" s="25">
        <f t="shared" si="2"/>
        <v>1097272.8992376886</v>
      </c>
      <c r="P29" s="26">
        <f t="shared" si="1"/>
        <v>1044749.8992376886</v>
      </c>
    </row>
    <row r="30" spans="1:16" ht="12.75">
      <c r="A30" s="60" t="s">
        <v>42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58" t="s">
        <v>63</v>
      </c>
      <c r="N30" s="57"/>
      <c r="O30" s="57"/>
      <c r="P30" s="59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-676828.878257399</v>
      </c>
      <c r="L32" s="53"/>
      <c r="M32" s="52">
        <f>NPV(M31,P5:P29)</f>
        <v>-1058778.1347603078</v>
      </c>
      <c r="N32" s="53"/>
      <c r="O32" s="52">
        <f>NPV(O31,P5:P29)</f>
        <v>-1343176.0350089236</v>
      </c>
      <c r="P32" s="77"/>
    </row>
  </sheetData>
  <mergeCells count="15"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  <mergeCell ref="A30:H32"/>
    <mergeCell ref="P2:P3"/>
    <mergeCell ref="O31:P31"/>
    <mergeCell ref="M31:N31"/>
    <mergeCell ref="K31:L31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0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75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f>'Fund Requirement '!F25</f>
        <v>106270.024420824</v>
      </c>
      <c r="C5" s="19">
        <v>0</v>
      </c>
      <c r="D5" s="20">
        <f aca="true" t="shared" si="0" ref="D5:D29">C5+B5</f>
        <v>106270.024420824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-106270.024420824</v>
      </c>
    </row>
    <row r="6" spans="1:16" ht="12.75">
      <c r="A6" s="21">
        <v>2006</v>
      </c>
      <c r="B6" s="20">
        <f>'Fund Requirement '!I25</f>
        <v>138959.51955754837</v>
      </c>
      <c r="C6" s="19">
        <v>0</v>
      </c>
      <c r="D6" s="20">
        <f t="shared" si="0"/>
        <v>138959.51955754837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-138959.51955754837</v>
      </c>
    </row>
    <row r="7" spans="1:16" ht="12.75">
      <c r="A7" s="21">
        <v>2007</v>
      </c>
      <c r="B7" s="20">
        <f>'Fund Requirement '!L25</f>
        <v>844326.3608494364</v>
      </c>
      <c r="C7" s="19">
        <v>0</v>
      </c>
      <c r="D7" s="20">
        <f t="shared" si="0"/>
        <v>844326.3608494364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-844326.3608494364</v>
      </c>
    </row>
    <row r="8" spans="1:16" ht="12.75">
      <c r="A8" s="21">
        <v>2008</v>
      </c>
      <c r="B8" s="20">
        <f>'Fund Requirement '!O25</f>
        <v>1034371.9017490881</v>
      </c>
      <c r="C8" s="19">
        <v>0</v>
      </c>
      <c r="D8" s="20">
        <f t="shared" si="0"/>
        <v>1034371.9017490881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-1034371.9017490881</v>
      </c>
    </row>
    <row r="9" spans="1:16" ht="12.75">
      <c r="A9" s="21">
        <v>2009</v>
      </c>
      <c r="B9" s="20">
        <f>'Fund Requirement '!R25</f>
        <v>1315684.1515549563</v>
      </c>
      <c r="C9" s="19">
        <v>0</v>
      </c>
      <c r="D9" s="20">
        <f t="shared" si="0"/>
        <v>1315684.1515549563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-1315684.1515549563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2945.809641008</v>
      </c>
      <c r="F10" s="20">
        <v>358.6416061900801</v>
      </c>
      <c r="G10" s="20">
        <v>1187.1088</v>
      </c>
      <c r="H10" s="20">
        <v>706.624</v>
      </c>
      <c r="I10" s="20">
        <v>0</v>
      </c>
      <c r="J10" s="20">
        <v>0</v>
      </c>
      <c r="K10" s="20">
        <v>7973.883400000001</v>
      </c>
      <c r="L10" s="20">
        <v>106.331479488</v>
      </c>
      <c r="M10" s="20">
        <v>18.8856</v>
      </c>
      <c r="N10" s="20">
        <v>4401.4720800000005</v>
      </c>
      <c r="O10" s="20">
        <f aca="true" t="shared" si="2" ref="O10:O29">SUM(E10:N10)</f>
        <v>17698.75660668608</v>
      </c>
      <c r="P10" s="22">
        <f t="shared" si="1"/>
        <v>-34824.24339331392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3662.6569935471025</v>
      </c>
      <c r="F11" s="20">
        <v>544.0164992128573</v>
      </c>
      <c r="G11" s="20">
        <v>1475.714302139954</v>
      </c>
      <c r="H11" s="20">
        <v>862.08128</v>
      </c>
      <c r="I11" s="20">
        <v>0</v>
      </c>
      <c r="J11" s="20">
        <v>0</v>
      </c>
      <c r="K11" s="20">
        <v>9728.137748</v>
      </c>
      <c r="L11" s="20">
        <v>132.20668829356845</v>
      </c>
      <c r="M11" s="20">
        <v>23.040432</v>
      </c>
      <c r="N11" s="20">
        <v>5369.7959376</v>
      </c>
      <c r="O11" s="20">
        <f t="shared" si="2"/>
        <v>21797.649880793484</v>
      </c>
      <c r="P11" s="22">
        <f t="shared" si="1"/>
        <v>-30725.350119206516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4553.9462022302005</v>
      </c>
      <c r="F12" s="20">
        <v>825.2082265374441</v>
      </c>
      <c r="G12" s="20">
        <v>1834.484506845886</v>
      </c>
      <c r="H12" s="20">
        <v>1051.7391616</v>
      </c>
      <c r="I12" s="20">
        <v>0</v>
      </c>
      <c r="J12" s="20">
        <v>0</v>
      </c>
      <c r="K12" s="20">
        <v>11868.328052559997</v>
      </c>
      <c r="L12" s="20">
        <v>164.378522784046</v>
      </c>
      <c r="M12" s="20">
        <v>28.109327039999997</v>
      </c>
      <c r="N12" s="20">
        <v>6551.151043872</v>
      </c>
      <c r="O12" s="20">
        <f t="shared" si="2"/>
        <v>26877.345043469573</v>
      </c>
      <c r="P12" s="22">
        <f t="shared" si="1"/>
        <v>-25645.654956530427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5662.127172306306</v>
      </c>
      <c r="F13" s="20">
        <v>1251.7428032856783</v>
      </c>
      <c r="G13" s="20">
        <v>2280.477597172757</v>
      </c>
      <c r="H13" s="20">
        <v>1283.121777152</v>
      </c>
      <c r="I13" s="20">
        <v>0</v>
      </c>
      <c r="J13" s="20">
        <v>0</v>
      </c>
      <c r="K13" s="20">
        <v>14479.360224123198</v>
      </c>
      <c r="L13" s="20">
        <v>204.37924803400438</v>
      </c>
      <c r="M13" s="20">
        <v>34.293378988799994</v>
      </c>
      <c r="N13" s="20">
        <v>7992.404273523841</v>
      </c>
      <c r="O13" s="20">
        <f t="shared" si="2"/>
        <v>33187.90647458659</v>
      </c>
      <c r="P13" s="22">
        <f t="shared" si="1"/>
        <v>-19335.09352541341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7039.979914822304</v>
      </c>
      <c r="F14" s="20">
        <v>1898.7453988744398</v>
      </c>
      <c r="G14" s="20">
        <v>2834.898878567486</v>
      </c>
      <c r="H14" s="20">
        <v>1565.4085681254398</v>
      </c>
      <c r="I14" s="20">
        <v>0</v>
      </c>
      <c r="J14" s="20">
        <v>0</v>
      </c>
      <c r="K14" s="20">
        <v>17664.819473430303</v>
      </c>
      <c r="L14" s="20">
        <v>254.11400298517347</v>
      </c>
      <c r="M14" s="20">
        <v>41.837922366336</v>
      </c>
      <c r="N14" s="20">
        <v>9750.733213699086</v>
      </c>
      <c r="O14" s="20">
        <f t="shared" si="2"/>
        <v>41050.53737287057</v>
      </c>
      <c r="P14" s="22">
        <f t="shared" si="1"/>
        <v>-11472.462627129433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8753.128370444778</v>
      </c>
      <c r="F15" s="20">
        <v>2880.17212444871</v>
      </c>
      <c r="G15" s="20">
        <v>3524.109011930969</v>
      </c>
      <c r="H15" s="20">
        <v>1909.7984531130362</v>
      </c>
      <c r="I15" s="20">
        <v>0</v>
      </c>
      <c r="J15" s="20">
        <v>0</v>
      </c>
      <c r="K15" s="20">
        <v>21551.07975758497</v>
      </c>
      <c r="L15" s="20">
        <v>315.95153903403633</v>
      </c>
      <c r="M15" s="20">
        <v>51.04226528692992</v>
      </c>
      <c r="N15" s="20">
        <v>11895.894520712882</v>
      </c>
      <c r="O15" s="20">
        <f t="shared" si="2"/>
        <v>50881.17604255631</v>
      </c>
      <c r="P15" s="22">
        <f t="shared" si="1"/>
        <v>-1641.8239574436884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10875.989440581548</v>
      </c>
      <c r="F16" s="20">
        <v>4366.0002172895265</v>
      </c>
      <c r="G16" s="20">
        <v>4379.072629657131</v>
      </c>
      <c r="H16" s="20">
        <v>2329.954112797904</v>
      </c>
      <c r="I16" s="20">
        <v>0</v>
      </c>
      <c r="J16" s="20">
        <v>0</v>
      </c>
      <c r="K16" s="20">
        <v>26292.31730425366</v>
      </c>
      <c r="L16" s="20">
        <v>392.57799689907415</v>
      </c>
      <c r="M16" s="20">
        <v>62.27156365005451</v>
      </c>
      <c r="N16" s="20">
        <v>14512.991315269715</v>
      </c>
      <c r="O16" s="20">
        <f t="shared" si="2"/>
        <v>63211.17458039861</v>
      </c>
      <c r="P16" s="22">
        <f t="shared" si="1"/>
        <v>10688.174580398612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13513.699481695023</v>
      </c>
      <c r="F17" s="20">
        <v>6618.339833711665</v>
      </c>
      <c r="G17" s="20">
        <v>5441.454004654906</v>
      </c>
      <c r="H17" s="20">
        <v>2842.5440176134434</v>
      </c>
      <c r="I17" s="20">
        <v>0</v>
      </c>
      <c r="J17" s="20">
        <v>0</v>
      </c>
      <c r="K17" s="20">
        <v>32076.62711118947</v>
      </c>
      <c r="L17" s="20">
        <v>487.7883618960387</v>
      </c>
      <c r="M17" s="20">
        <v>75.9713076530665</v>
      </c>
      <c r="N17" s="20">
        <v>17705.849404629054</v>
      </c>
      <c r="O17" s="20">
        <f t="shared" si="2"/>
        <v>78762.27352304268</v>
      </c>
      <c r="P17" s="22">
        <f t="shared" si="1"/>
        <v>26239.273523042677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16791.12274764818</v>
      </c>
      <c r="F18" s="20">
        <v>10032.620242482033</v>
      </c>
      <c r="G18" s="20">
        <v>6761.5735542375005</v>
      </c>
      <c r="H18" s="20">
        <v>3467.9037014884</v>
      </c>
      <c r="I18" s="20">
        <v>0</v>
      </c>
      <c r="J18" s="20">
        <v>0</v>
      </c>
      <c r="K18" s="20">
        <v>39133.48507565114</v>
      </c>
      <c r="L18" s="20">
        <v>606.0897144090761</v>
      </c>
      <c r="M18" s="20">
        <v>92.68499533674112</v>
      </c>
      <c r="N18" s="20">
        <v>21601.136273647448</v>
      </c>
      <c r="O18" s="20">
        <f t="shared" si="2"/>
        <v>98486.6163049005</v>
      </c>
      <c r="P18" s="22">
        <f t="shared" si="1"/>
        <v>45963.6163049005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20863.406318551293</v>
      </c>
      <c r="F19" s="20">
        <v>15208.265436406862</v>
      </c>
      <c r="G19" s="20">
        <v>8401.959639878165</v>
      </c>
      <c r="H19" s="20">
        <v>4230.842515815849</v>
      </c>
      <c r="I19" s="20">
        <v>0</v>
      </c>
      <c r="J19" s="20">
        <v>0</v>
      </c>
      <c r="K19" s="20">
        <v>47742.85179229439</v>
      </c>
      <c r="L19" s="20">
        <v>753.0822189351445</v>
      </c>
      <c r="M19" s="20">
        <v>113.07569431082415</v>
      </c>
      <c r="N19" s="20">
        <v>26353.386253849883</v>
      </c>
      <c r="O19" s="20">
        <f t="shared" si="2"/>
        <v>123666.8698700424</v>
      </c>
      <c r="P19" s="22">
        <f t="shared" si="1"/>
        <v>71143.8698700424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25923.324473065775</v>
      </c>
      <c r="F20" s="20">
        <v>23053.93127777572</v>
      </c>
      <c r="G20" s="20">
        <v>10440.31026563348</v>
      </c>
      <c r="H20" s="20">
        <v>5161.627869295336</v>
      </c>
      <c r="I20" s="20">
        <v>0</v>
      </c>
      <c r="J20" s="20">
        <v>0</v>
      </c>
      <c r="K20" s="20">
        <v>58246.279186599175</v>
      </c>
      <c r="L20" s="20">
        <v>935.7242253865904</v>
      </c>
      <c r="M20" s="20">
        <v>137.95234705920547</v>
      </c>
      <c r="N20" s="20">
        <v>32151.131229696854</v>
      </c>
      <c r="O20" s="20">
        <f t="shared" si="2"/>
        <v>156050.28087451213</v>
      </c>
      <c r="P20" s="22">
        <f t="shared" si="1"/>
        <v>103527.28087451213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32175.48499486719</v>
      </c>
      <c r="F21" s="20">
        <v>34909.146518579924</v>
      </c>
      <c r="G21" s="20">
        <v>12960.98081154183</v>
      </c>
      <c r="H21" s="20">
        <v>6297.186000540309</v>
      </c>
      <c r="I21" s="20">
        <v>0</v>
      </c>
      <c r="J21" s="20">
        <v>0</v>
      </c>
      <c r="K21" s="20">
        <v>71060.46060765098</v>
      </c>
      <c r="L21" s="20">
        <v>1161.4012240035577</v>
      </c>
      <c r="M21" s="20">
        <v>168.30186341223066</v>
      </c>
      <c r="N21" s="20">
        <v>39224.380100230155</v>
      </c>
      <c r="O21" s="20">
        <f t="shared" si="2"/>
        <v>197957.3421208262</v>
      </c>
      <c r="P21" s="22">
        <f t="shared" si="1"/>
        <v>145434.3421208262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39935.549230872</v>
      </c>
      <c r="F22" s="20">
        <v>52860.78660010565</v>
      </c>
      <c r="G22" s="20">
        <v>16090.232888012999</v>
      </c>
      <c r="H22" s="20">
        <v>7682.5669206591765</v>
      </c>
      <c r="I22" s="20">
        <v>0</v>
      </c>
      <c r="J22" s="20">
        <v>0</v>
      </c>
      <c r="K22" s="20">
        <v>86693.76194133416</v>
      </c>
      <c r="L22" s="20">
        <v>1441.5072769031465</v>
      </c>
      <c r="M22" s="20">
        <v>205.3282733629214</v>
      </c>
      <c r="N22" s="20">
        <v>47853.74372228079</v>
      </c>
      <c r="O22" s="20">
        <f t="shared" si="2"/>
        <v>252763.47685353085</v>
      </c>
      <c r="P22" s="22">
        <f t="shared" si="1"/>
        <v>200240.47685353085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49567.19863362011</v>
      </c>
      <c r="F23" s="20">
        <v>80043.88608532849</v>
      </c>
      <c r="G23" s="20">
        <v>19975.00020677039</v>
      </c>
      <c r="H23" s="20">
        <v>9372.731643204195</v>
      </c>
      <c r="I23" s="20">
        <v>0</v>
      </c>
      <c r="J23" s="20">
        <v>0</v>
      </c>
      <c r="K23" s="20">
        <v>105766.3895684277</v>
      </c>
      <c r="L23" s="20">
        <v>1789.1697723498905</v>
      </c>
      <c r="M23" s="20">
        <v>250.5004935027641</v>
      </c>
      <c r="N23" s="20">
        <v>58381.56734118256</v>
      </c>
      <c r="O23" s="20">
        <f t="shared" si="2"/>
        <v>325146.4437443861</v>
      </c>
      <c r="P23" s="22">
        <f t="shared" si="1"/>
        <v>272623.4437443861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61521.8294257957</v>
      </c>
      <c r="F24" s="20">
        <v>121205.64928667816</v>
      </c>
      <c r="G24" s="20">
        <v>24797.691620593454</v>
      </c>
      <c r="H24" s="20">
        <v>11434.73260470912</v>
      </c>
      <c r="I24" s="20">
        <v>0</v>
      </c>
      <c r="J24" s="20">
        <v>0</v>
      </c>
      <c r="K24" s="20">
        <v>129034.99527348182</v>
      </c>
      <c r="L24" s="20">
        <v>2220.68223709621</v>
      </c>
      <c r="M24" s="20">
        <v>305.6106020733722</v>
      </c>
      <c r="N24" s="20">
        <v>71225.51215624272</v>
      </c>
      <c r="O24" s="20">
        <f t="shared" si="2"/>
        <v>421746.7032066706</v>
      </c>
      <c r="P24" s="22">
        <f t="shared" si="1"/>
        <v>369223.7032066706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76359.70834528595</v>
      </c>
      <c r="F25" s="20">
        <v>183534.4998868051</v>
      </c>
      <c r="G25" s="20">
        <v>30784.756112374223</v>
      </c>
      <c r="H25" s="20">
        <v>13950.373777745124</v>
      </c>
      <c r="I25" s="20">
        <v>0</v>
      </c>
      <c r="J25" s="20">
        <v>0</v>
      </c>
      <c r="K25" s="20">
        <v>157422.69423364772</v>
      </c>
      <c r="L25" s="20">
        <v>2756.2679708143382</v>
      </c>
      <c r="M25" s="20">
        <v>372.8449345295141</v>
      </c>
      <c r="N25" s="20">
        <v>86895.12483061611</v>
      </c>
      <c r="O25" s="20">
        <f t="shared" si="2"/>
        <v>552076.2700918181</v>
      </c>
      <c r="P25" s="22">
        <f t="shared" si="1"/>
        <v>499553.27009181806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94776.23094791417</v>
      </c>
      <c r="F26" s="20">
        <v>277915.46616209496</v>
      </c>
      <c r="G26" s="20">
        <v>38217.31568398629</v>
      </c>
      <c r="H26" s="20">
        <v>17019.456008849047</v>
      </c>
      <c r="I26" s="20">
        <v>0</v>
      </c>
      <c r="J26" s="20">
        <v>0</v>
      </c>
      <c r="K26" s="20">
        <v>192055.68696505035</v>
      </c>
      <c r="L26" s="20">
        <v>3421.0278616440696</v>
      </c>
      <c r="M26" s="20">
        <v>454.8708201260071</v>
      </c>
      <c r="N26" s="20">
        <v>106012.05229335168</v>
      </c>
      <c r="O26" s="20">
        <f t="shared" si="2"/>
        <v>729872.1067430165</v>
      </c>
      <c r="P26" s="22">
        <f t="shared" si="1"/>
        <v>677349.1067430165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117634.51316587866</v>
      </c>
      <c r="F27" s="20">
        <v>420831.1439297452</v>
      </c>
      <c r="G27" s="20">
        <v>47444.36541117756</v>
      </c>
      <c r="H27" s="20">
        <v>20763.73633079584</v>
      </c>
      <c r="I27" s="20">
        <v>0</v>
      </c>
      <c r="J27" s="20">
        <v>0</v>
      </c>
      <c r="K27" s="20">
        <v>234307.93809736133</v>
      </c>
      <c r="L27" s="20">
        <v>4246.116805938079</v>
      </c>
      <c r="M27" s="20">
        <v>554.9424005537288</v>
      </c>
      <c r="N27" s="20">
        <v>129334.70379788906</v>
      </c>
      <c r="O27" s="20">
        <f t="shared" si="2"/>
        <v>975117.4599393394</v>
      </c>
      <c r="P27" s="22">
        <f t="shared" si="1"/>
        <v>922594.4599393394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146005.84365762878</v>
      </c>
      <c r="F28" s="20">
        <v>637240.2244456416</v>
      </c>
      <c r="G28" s="20">
        <v>58899.1604717161</v>
      </c>
      <c r="H28" s="20">
        <v>25331.75832357092</v>
      </c>
      <c r="I28" s="20">
        <v>0</v>
      </c>
      <c r="J28" s="20">
        <v>0</v>
      </c>
      <c r="K28" s="20">
        <v>285855.68447878095</v>
      </c>
      <c r="L28" s="20">
        <v>5270.2038698932765</v>
      </c>
      <c r="M28" s="20">
        <v>677.029728675549</v>
      </c>
      <c r="N28" s="20">
        <v>157788.33863342463</v>
      </c>
      <c r="O28" s="20">
        <f t="shared" si="2"/>
        <v>1317068.2436093318</v>
      </c>
      <c r="P28" s="22">
        <f t="shared" si="1"/>
        <v>1264545.2436093318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181219.89291890888</v>
      </c>
      <c r="F29" s="25">
        <v>964936.2988533009</v>
      </c>
      <c r="G29" s="25">
        <v>73119.55959802271</v>
      </c>
      <c r="H29" s="25">
        <v>30904.745154756525</v>
      </c>
      <c r="I29" s="25">
        <v>0</v>
      </c>
      <c r="J29" s="25">
        <v>0</v>
      </c>
      <c r="K29" s="25">
        <v>348743.93506411253</v>
      </c>
      <c r="L29" s="25">
        <v>6541.284629692125</v>
      </c>
      <c r="M29" s="25">
        <v>825.9762689841698</v>
      </c>
      <c r="N29" s="25">
        <v>192501.77313277803</v>
      </c>
      <c r="O29" s="25">
        <f t="shared" si="2"/>
        <v>1798793.4656205557</v>
      </c>
      <c r="P29" s="26">
        <f t="shared" si="1"/>
        <v>1746270.4656205557</v>
      </c>
    </row>
    <row r="30" spans="1:16" ht="12.75">
      <c r="A30" s="60" t="s">
        <v>60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78">
        <f>IRR(P5:P29,0.1)</f>
        <v>0.03206029777525371</v>
      </c>
      <c r="N30" s="78"/>
      <c r="O30" s="78"/>
      <c r="P30" s="79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787794.5554206831</v>
      </c>
      <c r="L32" s="53"/>
      <c r="M32" s="52">
        <f>NPV(M31,P5:P29)</f>
        <v>117338.5702169394</v>
      </c>
      <c r="N32" s="53"/>
      <c r="O32" s="52">
        <f>NPV(O31,P5:P29)</f>
        <v>-395951.5638462457</v>
      </c>
      <c r="P32" s="77"/>
    </row>
  </sheetData>
  <mergeCells count="15">
    <mergeCell ref="A30:H32"/>
    <mergeCell ref="P2:P3"/>
    <mergeCell ref="O31:P31"/>
    <mergeCell ref="M31:N31"/>
    <mergeCell ref="K31:L31"/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7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76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f>'Fund Requirement '!F25</f>
        <v>106270.024420824</v>
      </c>
      <c r="C5" s="19">
        <v>0</v>
      </c>
      <c r="D5" s="20">
        <f aca="true" t="shared" si="0" ref="D5:D29">C5+B5</f>
        <v>106270.024420824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-106270.024420824</v>
      </c>
    </row>
    <row r="6" spans="1:16" ht="12.75">
      <c r="A6" s="21">
        <v>2006</v>
      </c>
      <c r="B6" s="20">
        <f>'Fund Requirement '!I25</f>
        <v>138959.51955754837</v>
      </c>
      <c r="C6" s="19">
        <v>0</v>
      </c>
      <c r="D6" s="20">
        <f t="shared" si="0"/>
        <v>138959.51955754837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-138959.51955754837</v>
      </c>
    </row>
    <row r="7" spans="1:16" ht="12.75">
      <c r="A7" s="21">
        <v>2007</v>
      </c>
      <c r="B7" s="20">
        <f>'Fund Requirement '!L25</f>
        <v>844326.3608494364</v>
      </c>
      <c r="C7" s="19">
        <v>0</v>
      </c>
      <c r="D7" s="20">
        <f t="shared" si="0"/>
        <v>844326.3608494364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-844326.3608494364</v>
      </c>
    </row>
    <row r="8" spans="1:16" ht="12.75">
      <c r="A8" s="21">
        <v>2008</v>
      </c>
      <c r="B8" s="20">
        <f>'Fund Requirement '!O25</f>
        <v>1034371.9017490881</v>
      </c>
      <c r="C8" s="19">
        <v>0</v>
      </c>
      <c r="D8" s="20">
        <f t="shared" si="0"/>
        <v>1034371.9017490881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-1034371.9017490881</v>
      </c>
    </row>
    <row r="9" spans="1:16" ht="12.75">
      <c r="A9" s="21">
        <v>2009</v>
      </c>
      <c r="B9" s="20">
        <f>'Fund Requirement '!R25</f>
        <v>1315684.1515549563</v>
      </c>
      <c r="C9" s="19">
        <v>0</v>
      </c>
      <c r="D9" s="20">
        <f t="shared" si="0"/>
        <v>1315684.1515549563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-1315684.1515549563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3018.2475830000003</v>
      </c>
      <c r="F10" s="20">
        <v>376.49658</v>
      </c>
      <c r="G10" s="20">
        <v>1216.3</v>
      </c>
      <c r="H10" s="20">
        <v>724</v>
      </c>
      <c r="I10" s="20">
        <v>0</v>
      </c>
      <c r="J10" s="20">
        <v>0</v>
      </c>
      <c r="K10" s="20">
        <v>8169.9625</v>
      </c>
      <c r="L10" s="20">
        <v>108.94618799999998</v>
      </c>
      <c r="M10" s="20">
        <v>19.35</v>
      </c>
      <c r="N10" s="20">
        <v>4509.705</v>
      </c>
      <c r="O10" s="20">
        <f aca="true" t="shared" si="2" ref="O10:O29">SUM(E10:N10)</f>
        <v>18143.007851000002</v>
      </c>
      <c r="P10" s="22">
        <f t="shared" si="1"/>
        <v>-34379.992149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3845.002386735654</v>
      </c>
      <c r="F11" s="20">
        <v>599.5325966843535</v>
      </c>
      <c r="G11" s="20">
        <v>1549.1827446208536</v>
      </c>
      <c r="H11" s="20">
        <v>905</v>
      </c>
      <c r="I11" s="20">
        <v>0</v>
      </c>
      <c r="J11" s="20">
        <v>0</v>
      </c>
      <c r="K11" s="20">
        <v>10212.453125</v>
      </c>
      <c r="L11" s="20">
        <v>138.78859880321198</v>
      </c>
      <c r="M11" s="20">
        <v>24.1875</v>
      </c>
      <c r="N11" s="20">
        <v>5637.13125</v>
      </c>
      <c r="O11" s="20">
        <f t="shared" si="2"/>
        <v>22911.27820184407</v>
      </c>
      <c r="P11" s="22">
        <f t="shared" si="1"/>
        <v>-29611.72179815593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4898.221754370883</v>
      </c>
      <c r="F12" s="20">
        <v>954.6949885078384</v>
      </c>
      <c r="G12" s="20">
        <v>1973.1704153835408</v>
      </c>
      <c r="H12" s="20">
        <v>1131.25</v>
      </c>
      <c r="I12" s="20">
        <v>0</v>
      </c>
      <c r="J12" s="20">
        <v>0</v>
      </c>
      <c r="K12" s="20">
        <v>12765.56640625</v>
      </c>
      <c r="L12" s="20">
        <v>176.8054387330822</v>
      </c>
      <c r="M12" s="20">
        <v>30.234375</v>
      </c>
      <c r="N12" s="20">
        <v>7046.4140625</v>
      </c>
      <c r="O12" s="20">
        <f t="shared" si="2"/>
        <v>28976.357440745345</v>
      </c>
      <c r="P12" s="22">
        <f t="shared" si="1"/>
        <v>-23546.642559254655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6239.939066703967</v>
      </c>
      <c r="F13" s="20">
        <v>1520.2554249051375</v>
      </c>
      <c r="G13" s="20">
        <v>2513.1970399642714</v>
      </c>
      <c r="H13" s="20">
        <v>1414.0625</v>
      </c>
      <c r="I13" s="20">
        <v>0</v>
      </c>
      <c r="J13" s="20">
        <v>0</v>
      </c>
      <c r="K13" s="20">
        <v>15956.9580078125</v>
      </c>
      <c r="L13" s="20">
        <v>225.2358549042446</v>
      </c>
      <c r="M13" s="20">
        <v>37.79296875</v>
      </c>
      <c r="N13" s="20">
        <v>8808.017578125</v>
      </c>
      <c r="O13" s="20">
        <f t="shared" si="2"/>
        <v>36715.458441165116</v>
      </c>
      <c r="P13" s="22">
        <f t="shared" si="1"/>
        <v>-15807.541558834884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7949.180010417654</v>
      </c>
      <c r="F14" s="20">
        <v>2420.8537746123147</v>
      </c>
      <c r="G14" s="20">
        <v>3201.020708825828</v>
      </c>
      <c r="H14" s="20">
        <v>1767.578125</v>
      </c>
      <c r="I14" s="20">
        <v>0</v>
      </c>
      <c r="J14" s="20">
        <v>0</v>
      </c>
      <c r="K14" s="20">
        <v>19946.197509765625</v>
      </c>
      <c r="L14" s="20">
        <v>286.9323460204701</v>
      </c>
      <c r="M14" s="20">
        <v>47.2412109375</v>
      </c>
      <c r="N14" s="20">
        <v>11010.02197265625</v>
      </c>
      <c r="O14" s="20">
        <f t="shared" si="2"/>
        <v>46629.025658235645</v>
      </c>
      <c r="P14" s="22">
        <f t="shared" si="1"/>
        <v>-5893.974341764355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10126.617161941529</v>
      </c>
      <c r="F15" s="20">
        <v>3854.9666991457343</v>
      </c>
      <c r="G15" s="20">
        <v>4077.0912170410156</v>
      </c>
      <c r="H15" s="20">
        <v>2209.47265625</v>
      </c>
      <c r="I15" s="20">
        <v>0</v>
      </c>
      <c r="J15" s="20">
        <v>0</v>
      </c>
      <c r="K15" s="20">
        <v>24932.74688720703</v>
      </c>
      <c r="L15" s="20">
        <v>365.5287734985351</v>
      </c>
      <c r="M15" s="20">
        <v>59.051513671875</v>
      </c>
      <c r="N15" s="20">
        <v>13762.527465820312</v>
      </c>
      <c r="O15" s="20">
        <f t="shared" si="2"/>
        <v>59388.002374576026</v>
      </c>
      <c r="P15" s="22">
        <f t="shared" si="1"/>
        <v>6865.002374576026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12891.992779297816</v>
      </c>
      <c r="F16" s="20">
        <v>6134.600782159412</v>
      </c>
      <c r="G16" s="20">
        <v>5190.789585627045</v>
      </c>
      <c r="H16" s="20">
        <v>2761.8408203125</v>
      </c>
      <c r="I16" s="20">
        <v>0</v>
      </c>
      <c r="J16" s="20">
        <v>0</v>
      </c>
      <c r="K16" s="20">
        <v>31165.93360900879</v>
      </c>
      <c r="L16" s="20">
        <v>465.3473349697775</v>
      </c>
      <c r="M16" s="20">
        <v>73.81439208984375</v>
      </c>
      <c r="N16" s="20">
        <v>17203.15933227539</v>
      </c>
      <c r="O16" s="20">
        <f t="shared" si="2"/>
        <v>75887.47863574057</v>
      </c>
      <c r="P16" s="22">
        <f t="shared" si="1"/>
        <v>23364.47863574057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16412.536899479896</v>
      </c>
      <c r="F17" s="20">
        <v>9762.296200480567</v>
      </c>
      <c r="G17" s="20">
        <v>6608.705836561893</v>
      </c>
      <c r="H17" s="20">
        <v>3452.301025390625</v>
      </c>
      <c r="I17" s="20">
        <v>0</v>
      </c>
      <c r="J17" s="20">
        <v>0</v>
      </c>
      <c r="K17" s="20">
        <v>38957.417011260986</v>
      </c>
      <c r="L17" s="20">
        <v>592.4243394342093</v>
      </c>
      <c r="M17" s="20">
        <v>92.26799011230469</v>
      </c>
      <c r="N17" s="20">
        <v>21503.94916534424</v>
      </c>
      <c r="O17" s="20">
        <f t="shared" si="2"/>
        <v>97381.89846806471</v>
      </c>
      <c r="P17" s="22">
        <f t="shared" si="1"/>
        <v>44858.89846806471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20894.47086372603</v>
      </c>
      <c r="F18" s="20">
        <v>15535.228859901948</v>
      </c>
      <c r="G18" s="20">
        <v>8413.94013641786</v>
      </c>
      <c r="H18" s="20">
        <v>4315.376281738281</v>
      </c>
      <c r="I18" s="20">
        <v>0</v>
      </c>
      <c r="J18" s="20">
        <v>0</v>
      </c>
      <c r="K18" s="20">
        <v>48696.77126407623</v>
      </c>
      <c r="L18" s="20">
        <v>754.2035198508825</v>
      </c>
      <c r="M18" s="20">
        <v>115.33498764038086</v>
      </c>
      <c r="N18" s="20">
        <v>26879.936456680298</v>
      </c>
      <c r="O18" s="20">
        <f t="shared" si="2"/>
        <v>125605.26237003191</v>
      </c>
      <c r="P18" s="22">
        <f t="shared" si="1"/>
        <v>73082.26237003191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26600.330917181203</v>
      </c>
      <c r="F19" s="20">
        <v>24721.98454095259</v>
      </c>
      <c r="G19" s="20">
        <v>10712.292295953273</v>
      </c>
      <c r="H19" s="20">
        <v>5394.220352172852</v>
      </c>
      <c r="I19" s="20">
        <v>0</v>
      </c>
      <c r="J19" s="20">
        <v>0</v>
      </c>
      <c r="K19" s="20">
        <v>60870.96408009529</v>
      </c>
      <c r="L19" s="20">
        <v>960.1613430548834</v>
      </c>
      <c r="M19" s="20">
        <v>144.16873455047607</v>
      </c>
      <c r="N19" s="20">
        <v>33599.92057085037</v>
      </c>
      <c r="O19" s="20">
        <f t="shared" si="2"/>
        <v>163004.04283481097</v>
      </c>
      <c r="P19" s="22">
        <f t="shared" si="1"/>
        <v>110481.04283481097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33864.346677437425</v>
      </c>
      <c r="F20" s="20">
        <v>39341.327071062966</v>
      </c>
      <c r="G20" s="20">
        <v>13638.462405651808</v>
      </c>
      <c r="H20" s="20">
        <v>6742.775440216064</v>
      </c>
      <c r="I20" s="20">
        <v>0</v>
      </c>
      <c r="J20" s="20">
        <v>0</v>
      </c>
      <c r="K20" s="20">
        <v>76088.70510011911</v>
      </c>
      <c r="L20" s="20">
        <v>1222.362108528614</v>
      </c>
      <c r="M20" s="20">
        <v>180.2109181880951</v>
      </c>
      <c r="N20" s="20">
        <v>41999.900713562965</v>
      </c>
      <c r="O20" s="20">
        <f t="shared" si="2"/>
        <v>213078.09043476704</v>
      </c>
      <c r="P20" s="22">
        <f t="shared" si="1"/>
        <v>160555.09043476704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43065.281457030185</v>
      </c>
      <c r="F21" s="20">
        <v>62537.94511918126</v>
      </c>
      <c r="G21" s="20">
        <v>17347.626203529137</v>
      </c>
      <c r="H21" s="20">
        <v>8428.46930027008</v>
      </c>
      <c r="I21" s="20">
        <v>0</v>
      </c>
      <c r="J21" s="20">
        <v>0</v>
      </c>
      <c r="K21" s="20">
        <v>95110.88137514889</v>
      </c>
      <c r="L21" s="20">
        <v>1554.4775969727084</v>
      </c>
      <c r="M21" s="20">
        <v>225.26364773511887</v>
      </c>
      <c r="N21" s="20">
        <v>52499.87589195371</v>
      </c>
      <c r="O21" s="20">
        <f t="shared" si="2"/>
        <v>280769.8205918211</v>
      </c>
      <c r="P21" s="22">
        <f t="shared" si="1"/>
        <v>228246.8205918211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54766.127350073984</v>
      </c>
      <c r="F22" s="20">
        <v>99411.8972038528</v>
      </c>
      <c r="G22" s="20">
        <v>22065.547123014436</v>
      </c>
      <c r="H22" s="20">
        <v>10535.5866253376</v>
      </c>
      <c r="I22" s="20">
        <v>0</v>
      </c>
      <c r="J22" s="20">
        <v>0</v>
      </c>
      <c r="K22" s="20">
        <v>118888.60171893612</v>
      </c>
      <c r="L22" s="20">
        <v>1976.8294820872889</v>
      </c>
      <c r="M22" s="20">
        <v>281.5795596688986</v>
      </c>
      <c r="N22" s="20">
        <v>65624.84486494213</v>
      </c>
      <c r="O22" s="20">
        <f t="shared" si="2"/>
        <v>373551.01392791327</v>
      </c>
      <c r="P22" s="22">
        <f t="shared" si="1"/>
        <v>321028.01392791327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69646.12010395886</v>
      </c>
      <c r="F23" s="20">
        <v>158027.71867008298</v>
      </c>
      <c r="G23" s="20">
        <v>28066.57026878524</v>
      </c>
      <c r="H23" s="20">
        <v>13169.483281672</v>
      </c>
      <c r="I23" s="20">
        <v>0</v>
      </c>
      <c r="J23" s="20">
        <v>0</v>
      </c>
      <c r="K23" s="20">
        <v>148610.75214867014</v>
      </c>
      <c r="L23" s="20">
        <v>2513.9353501195133</v>
      </c>
      <c r="M23" s="20">
        <v>351.9744495861232</v>
      </c>
      <c r="N23" s="20">
        <v>82031.05608117767</v>
      </c>
      <c r="O23" s="20">
        <f t="shared" si="2"/>
        <v>502417.6103540525</v>
      </c>
      <c r="P23" s="22">
        <f t="shared" si="1"/>
        <v>449894.6103540525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88569.0479271928</v>
      </c>
      <c r="F24" s="20">
        <v>251205.03065755015</v>
      </c>
      <c r="G24" s="20">
        <v>35699.652596923464</v>
      </c>
      <c r="H24" s="20">
        <v>16461.85410209</v>
      </c>
      <c r="I24" s="20">
        <v>0</v>
      </c>
      <c r="J24" s="20">
        <v>0</v>
      </c>
      <c r="K24" s="20">
        <v>185763.44018583765</v>
      </c>
      <c r="L24" s="20">
        <v>3196.974363801539</v>
      </c>
      <c r="M24" s="20">
        <v>439.96806198265404</v>
      </c>
      <c r="N24" s="20">
        <v>102538.82010147208</v>
      </c>
      <c r="O24" s="20">
        <f t="shared" si="2"/>
        <v>683874.7879968503</v>
      </c>
      <c r="P24" s="22">
        <f t="shared" si="1"/>
        <v>631351.7879968503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112633.3958936243</v>
      </c>
      <c r="F25" s="20">
        <v>399322.2848542516</v>
      </c>
      <c r="G25" s="20">
        <v>45408.65461422072</v>
      </c>
      <c r="H25" s="20">
        <v>20577.3176276125</v>
      </c>
      <c r="I25" s="20">
        <v>0</v>
      </c>
      <c r="J25" s="20">
        <v>0</v>
      </c>
      <c r="K25" s="20">
        <v>232204.30023229707</v>
      </c>
      <c r="L25" s="20">
        <v>4065.5972668446334</v>
      </c>
      <c r="M25" s="20">
        <v>549.9600774783175</v>
      </c>
      <c r="N25" s="20">
        <v>128173.5251268401</v>
      </c>
      <c r="O25" s="20">
        <f t="shared" si="2"/>
        <v>942935.0356931691</v>
      </c>
      <c r="P25" s="22">
        <f t="shared" si="1"/>
        <v>890412.0356931691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143236.11509301356</v>
      </c>
      <c r="F26" s="20">
        <v>634773.6865561649</v>
      </c>
      <c r="G26" s="20">
        <v>57758.15067879073</v>
      </c>
      <c r="H26" s="20">
        <v>25721.647034515627</v>
      </c>
      <c r="I26" s="20">
        <v>0</v>
      </c>
      <c r="J26" s="20">
        <v>0</v>
      </c>
      <c r="K26" s="20">
        <v>290255.3752903714</v>
      </c>
      <c r="L26" s="20">
        <v>5170.228185125359</v>
      </c>
      <c r="M26" s="20">
        <v>687.4500968478969</v>
      </c>
      <c r="N26" s="20">
        <v>160216.90640855013</v>
      </c>
      <c r="O26" s="20">
        <f t="shared" si="2"/>
        <v>1317819.5593433797</v>
      </c>
      <c r="P26" s="22">
        <f t="shared" si="1"/>
        <v>1265296.5593433797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182153.7185387337</v>
      </c>
      <c r="F27" s="20">
        <v>1009054.0657436626</v>
      </c>
      <c r="G27" s="20">
        <v>73466.25876004594</v>
      </c>
      <c r="H27" s="20">
        <v>32152.058793144537</v>
      </c>
      <c r="I27" s="20">
        <v>0</v>
      </c>
      <c r="J27" s="20">
        <v>0</v>
      </c>
      <c r="K27" s="20">
        <v>362819.21911296423</v>
      </c>
      <c r="L27" s="20">
        <v>6574.991851760216</v>
      </c>
      <c r="M27" s="20">
        <v>859.3126210598712</v>
      </c>
      <c r="N27" s="20">
        <v>200271.13301068766</v>
      </c>
      <c r="O27" s="20">
        <f t="shared" si="2"/>
        <v>1867350.7584320586</v>
      </c>
      <c r="P27" s="22">
        <f t="shared" si="1"/>
        <v>1814827.7584320586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231645.41173276308</v>
      </c>
      <c r="F28" s="20">
        <v>1604021.224456266</v>
      </c>
      <c r="G28" s="20">
        <v>93446.39869468598</v>
      </c>
      <c r="H28" s="20">
        <v>40190.07349143067</v>
      </c>
      <c r="I28" s="20">
        <v>0</v>
      </c>
      <c r="J28" s="20">
        <v>0</v>
      </c>
      <c r="K28" s="20">
        <v>453524.0238912052</v>
      </c>
      <c r="L28" s="20">
        <v>8361.43619168932</v>
      </c>
      <c r="M28" s="20">
        <v>1074.140776324839</v>
      </c>
      <c r="N28" s="20">
        <v>250338.9162633596</v>
      </c>
      <c r="O28" s="20">
        <f t="shared" si="2"/>
        <v>2682601.625497725</v>
      </c>
      <c r="P28" s="22">
        <f t="shared" si="1"/>
        <v>2630078.625497725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294584.2449941374</v>
      </c>
      <c r="F29" s="25">
        <v>2549798.9460834926</v>
      </c>
      <c r="G29" s="25">
        <v>118860.40716361027</v>
      </c>
      <c r="H29" s="25">
        <v>50237.59186428833</v>
      </c>
      <c r="I29" s="25">
        <v>0</v>
      </c>
      <c r="J29" s="25">
        <v>0</v>
      </c>
      <c r="K29" s="25">
        <v>566905.0298640066</v>
      </c>
      <c r="L29" s="25">
        <v>10633.266375407662</v>
      </c>
      <c r="M29" s="25">
        <v>1342.6759704060487</v>
      </c>
      <c r="N29" s="25">
        <v>312923.6453291995</v>
      </c>
      <c r="O29" s="25">
        <f t="shared" si="2"/>
        <v>3905285.807644549</v>
      </c>
      <c r="P29" s="26">
        <f t="shared" si="1"/>
        <v>3852762.807644549</v>
      </c>
    </row>
    <row r="30" spans="1:16" ht="12.75">
      <c r="A30" s="60" t="s">
        <v>59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74">
        <f>IRR(P5:P29,0.1)</f>
        <v>0.07038629784431112</v>
      </c>
      <c r="N30" s="74"/>
      <c r="O30" s="74"/>
      <c r="P30" s="75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4699787.074347236</v>
      </c>
      <c r="L32" s="53"/>
      <c r="M32" s="52">
        <f>NPV(M31,P5:P29)</f>
        <v>3247703.5237976285</v>
      </c>
      <c r="N32" s="53"/>
      <c r="O32" s="52">
        <f>NPV(O31,P5:P29)</f>
        <v>2116029.7317435374</v>
      </c>
      <c r="P32" s="77"/>
    </row>
  </sheetData>
  <mergeCells count="15">
    <mergeCell ref="A30:H32"/>
    <mergeCell ref="P2:P3"/>
    <mergeCell ref="O31:P31"/>
    <mergeCell ref="M31:N31"/>
    <mergeCell ref="K31:L31"/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4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77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v>106270</v>
      </c>
      <c r="C5" s="19">
        <v>0</v>
      </c>
      <c r="D5" s="20">
        <f aca="true" t="shared" si="0" ref="D5:D29">C5+B5</f>
        <v>106270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</v>
      </c>
    </row>
    <row r="6" spans="1:16" ht="12.75">
      <c r="A6" s="21">
        <v>2006</v>
      </c>
      <c r="B6" s="20">
        <v>138960</v>
      </c>
      <c r="C6" s="19">
        <v>0</v>
      </c>
      <c r="D6" s="20">
        <f t="shared" si="0"/>
        <v>138960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-138960</v>
      </c>
    </row>
    <row r="7" spans="1:16" ht="12.75">
      <c r="A7" s="21">
        <v>2007</v>
      </c>
      <c r="B7" s="20">
        <v>844326</v>
      </c>
      <c r="C7" s="19">
        <v>0</v>
      </c>
      <c r="D7" s="20">
        <f t="shared" si="0"/>
        <v>844326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</v>
      </c>
    </row>
    <row r="8" spans="1:16" ht="12.75">
      <c r="A8" s="21">
        <v>2008</v>
      </c>
      <c r="B8" s="20">
        <v>1034372</v>
      </c>
      <c r="C8" s="19">
        <v>0</v>
      </c>
      <c r="D8" s="20">
        <f t="shared" si="0"/>
        <v>1034372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-1034372</v>
      </c>
    </row>
    <row r="9" spans="1:16" ht="12.75">
      <c r="A9" s="21">
        <v>2009</v>
      </c>
      <c r="B9" s="20">
        <v>1315684</v>
      </c>
      <c r="C9" s="19">
        <v>0</v>
      </c>
      <c r="D9" s="20">
        <f t="shared" si="0"/>
        <v>1315684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3621.8970996</v>
      </c>
      <c r="F10" s="20">
        <v>542.1550752</v>
      </c>
      <c r="G10" s="20">
        <v>1459.56</v>
      </c>
      <c r="H10" s="20">
        <v>868.8</v>
      </c>
      <c r="I10" s="20">
        <v>0</v>
      </c>
      <c r="J10" s="20">
        <v>0</v>
      </c>
      <c r="K10" s="20">
        <v>9803.955</v>
      </c>
      <c r="L10" s="20">
        <v>130.73542559999999</v>
      </c>
      <c r="M10" s="20">
        <v>23.22</v>
      </c>
      <c r="N10" s="20">
        <v>5411.646000000001</v>
      </c>
      <c r="O10" s="20">
        <f aca="true" t="shared" si="2" ref="O10:O29">SUM(E10:N10)</f>
        <v>21861.968600400003</v>
      </c>
      <c r="P10" s="22">
        <f t="shared" si="1"/>
        <v>-30661.031399599997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5536.803436899341</v>
      </c>
      <c r="F11" s="20">
        <v>1243.1907924846757</v>
      </c>
      <c r="G11" s="20">
        <v>2230.823152254029</v>
      </c>
      <c r="H11" s="20">
        <v>1303.2</v>
      </c>
      <c r="I11" s="20">
        <v>0</v>
      </c>
      <c r="J11" s="20">
        <v>0</v>
      </c>
      <c r="K11" s="20">
        <v>14705.9325</v>
      </c>
      <c r="L11" s="20">
        <v>199.85558227662526</v>
      </c>
      <c r="M11" s="20">
        <v>34.83</v>
      </c>
      <c r="N11" s="20">
        <v>8117.469000000002</v>
      </c>
      <c r="O11" s="20">
        <f t="shared" si="2"/>
        <v>33372.10446391468</v>
      </c>
      <c r="P11" s="22">
        <f t="shared" si="1"/>
        <v>-19150.89553608532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8464.127191552887</v>
      </c>
      <c r="F12" s="20">
        <v>2850.70396056459</v>
      </c>
      <c r="G12" s="20">
        <v>3409.638477782759</v>
      </c>
      <c r="H12" s="20">
        <v>1954.8</v>
      </c>
      <c r="I12" s="20">
        <v>0</v>
      </c>
      <c r="J12" s="20">
        <v>0</v>
      </c>
      <c r="K12" s="20">
        <v>22058.89875</v>
      </c>
      <c r="L12" s="20">
        <v>305.5197981307661</v>
      </c>
      <c r="M12" s="20">
        <v>52.245</v>
      </c>
      <c r="N12" s="20">
        <v>12176.2035</v>
      </c>
      <c r="O12" s="20">
        <f t="shared" si="2"/>
        <v>51272.136678031005</v>
      </c>
      <c r="P12" s="22">
        <f t="shared" si="1"/>
        <v>-1250.8633219689946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12939.137648717346</v>
      </c>
      <c r="F13" s="20">
        <v>6536.820059539118</v>
      </c>
      <c r="G13" s="20">
        <v>5211.365382069914</v>
      </c>
      <c r="H13" s="20">
        <v>2932.2</v>
      </c>
      <c r="I13" s="20">
        <v>0</v>
      </c>
      <c r="J13" s="20">
        <v>0</v>
      </c>
      <c r="K13" s="20">
        <v>33088.348125</v>
      </c>
      <c r="L13" s="20">
        <v>467.0490687294416</v>
      </c>
      <c r="M13" s="20">
        <v>78.3675</v>
      </c>
      <c r="N13" s="20">
        <v>18264.305250000005</v>
      </c>
      <c r="O13" s="20">
        <f t="shared" si="2"/>
        <v>79517.59303405583</v>
      </c>
      <c r="P13" s="22">
        <f t="shared" si="1"/>
        <v>26994.593034055826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19780.103603522453</v>
      </c>
      <c r="F14" s="20">
        <v>14989.288489571592</v>
      </c>
      <c r="G14" s="20">
        <v>7965.163850185485</v>
      </c>
      <c r="H14" s="20">
        <v>4398.3</v>
      </c>
      <c r="I14" s="20">
        <v>0</v>
      </c>
      <c r="J14" s="20">
        <v>0</v>
      </c>
      <c r="K14" s="20">
        <v>49632.5221875</v>
      </c>
      <c r="L14" s="20">
        <v>713.9794952496561</v>
      </c>
      <c r="M14" s="20">
        <v>117.55125</v>
      </c>
      <c r="N14" s="20">
        <v>27396.457875</v>
      </c>
      <c r="O14" s="20">
        <f t="shared" si="2"/>
        <v>124993.36675102919</v>
      </c>
      <c r="P14" s="22">
        <f t="shared" si="1"/>
        <v>72470.36675102919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20158.611213121876</v>
      </c>
      <c r="F15" s="20">
        <v>15276.120139673441</v>
      </c>
      <c r="G15" s="20">
        <v>8116.08609375</v>
      </c>
      <c r="H15" s="20">
        <v>4398.3</v>
      </c>
      <c r="I15" s="20">
        <v>0</v>
      </c>
      <c r="J15" s="20">
        <v>0</v>
      </c>
      <c r="K15" s="20">
        <v>49632.5221875</v>
      </c>
      <c r="L15" s="20">
        <v>727.6420461375</v>
      </c>
      <c r="M15" s="20">
        <v>117.55125</v>
      </c>
      <c r="N15" s="20">
        <v>27396.457875</v>
      </c>
      <c r="O15" s="20">
        <f t="shared" si="2"/>
        <v>125823.29080518283</v>
      </c>
      <c r="P15" s="22">
        <f t="shared" si="1"/>
        <v>73300.29080518283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20530.8182224527</v>
      </c>
      <c r="F16" s="20">
        <v>15558.177218469878</v>
      </c>
      <c r="G16" s="20">
        <v>8266.461146692793</v>
      </c>
      <c r="H16" s="20">
        <v>4398.3</v>
      </c>
      <c r="I16" s="20">
        <v>0</v>
      </c>
      <c r="J16" s="20">
        <v>0</v>
      </c>
      <c r="K16" s="20">
        <v>49632.5221875</v>
      </c>
      <c r="L16" s="20">
        <v>741.077171553278</v>
      </c>
      <c r="M16" s="20">
        <v>117.55125</v>
      </c>
      <c r="N16" s="20">
        <v>27396.457875</v>
      </c>
      <c r="O16" s="20">
        <f t="shared" si="2"/>
        <v>126641.36507166864</v>
      </c>
      <c r="P16" s="22">
        <f t="shared" si="1"/>
        <v>74118.36507166864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20909.897634669473</v>
      </c>
      <c r="F17" s="20">
        <v>15845.44217845535</v>
      </c>
      <c r="G17" s="20">
        <v>8419.62235250365</v>
      </c>
      <c r="H17" s="20">
        <v>4398.3</v>
      </c>
      <c r="I17" s="20">
        <v>0</v>
      </c>
      <c r="J17" s="20">
        <v>0</v>
      </c>
      <c r="K17" s="20">
        <v>49632.5221875</v>
      </c>
      <c r="L17" s="20">
        <v>754.7603621380772</v>
      </c>
      <c r="M17" s="20">
        <v>117.55125</v>
      </c>
      <c r="N17" s="20">
        <v>27396.457875</v>
      </c>
      <c r="O17" s="20">
        <f t="shared" si="2"/>
        <v>127474.55384026657</v>
      </c>
      <c r="P17" s="22">
        <f t="shared" si="1"/>
        <v>74951.55384026657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21295.97634135112</v>
      </c>
      <c r="F18" s="20">
        <v>16138.011177593524</v>
      </c>
      <c r="G18" s="20">
        <v>8575.621333094929</v>
      </c>
      <c r="H18" s="20">
        <v>4398.3</v>
      </c>
      <c r="I18" s="20">
        <v>0</v>
      </c>
      <c r="J18" s="20">
        <v>0</v>
      </c>
      <c r="K18" s="20">
        <v>49632.5221875</v>
      </c>
      <c r="L18" s="20">
        <v>768.6961981502866</v>
      </c>
      <c r="M18" s="20">
        <v>117.55125</v>
      </c>
      <c r="N18" s="20">
        <v>27396.457875</v>
      </c>
      <c r="O18" s="20">
        <f t="shared" si="2"/>
        <v>128323.13636268987</v>
      </c>
      <c r="P18" s="22">
        <f t="shared" si="1"/>
        <v>75800.13636268987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21689.18357699472</v>
      </c>
      <c r="F19" s="20">
        <v>16435.982149302654</v>
      </c>
      <c r="G19" s="20">
        <v>8734.510666831116</v>
      </c>
      <c r="H19" s="20">
        <v>4398.3</v>
      </c>
      <c r="I19" s="20">
        <v>0</v>
      </c>
      <c r="J19" s="20">
        <v>0</v>
      </c>
      <c r="K19" s="20">
        <v>49632.5221875</v>
      </c>
      <c r="L19" s="20">
        <v>782.8893444178995</v>
      </c>
      <c r="M19" s="20">
        <v>117.55125</v>
      </c>
      <c r="N19" s="20">
        <v>27396.457875</v>
      </c>
      <c r="O19" s="20">
        <f t="shared" si="2"/>
        <v>129187.39705004639</v>
      </c>
      <c r="P19" s="22">
        <f t="shared" si="1"/>
        <v>76664.39705004639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22089.650962275</v>
      </c>
      <c r="F20" s="20">
        <v>16739.454835237506</v>
      </c>
      <c r="G20" s="20">
        <v>8896.34390625</v>
      </c>
      <c r="H20" s="20">
        <v>4398.3</v>
      </c>
      <c r="I20" s="20">
        <v>0</v>
      </c>
      <c r="J20" s="20">
        <v>0</v>
      </c>
      <c r="K20" s="20">
        <v>49632.5221875</v>
      </c>
      <c r="L20" s="20">
        <v>797.3445519</v>
      </c>
      <c r="M20" s="20">
        <v>117.55125</v>
      </c>
      <c r="N20" s="20">
        <v>27396.457875</v>
      </c>
      <c r="O20" s="20">
        <f t="shared" si="2"/>
        <v>130067.6255681625</v>
      </c>
      <c r="P20" s="22">
        <f t="shared" si="1"/>
        <v>77544.6255681625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22473.123017294052</v>
      </c>
      <c r="F21" s="20">
        <v>17030.048523500383</v>
      </c>
      <c r="G21" s="20">
        <v>9052.659695697921</v>
      </c>
      <c r="H21" s="20">
        <v>4398.3</v>
      </c>
      <c r="I21" s="20">
        <v>0</v>
      </c>
      <c r="J21" s="20">
        <v>0</v>
      </c>
      <c r="K21" s="20">
        <v>49632.5221875</v>
      </c>
      <c r="L21" s="20">
        <v>811.1862986255379</v>
      </c>
      <c r="M21" s="20">
        <v>117.55125</v>
      </c>
      <c r="N21" s="20">
        <v>27396.457875</v>
      </c>
      <c r="O21" s="20">
        <f t="shared" si="2"/>
        <v>130911.84884761792</v>
      </c>
      <c r="P21" s="22">
        <f t="shared" si="1"/>
        <v>78388.84884761792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22863.2601572019</v>
      </c>
      <c r="F22" s="20">
        <v>17325.692988149884</v>
      </c>
      <c r="G22" s="20">
        <v>9211.722077036646</v>
      </c>
      <c r="H22" s="20">
        <v>4398.3</v>
      </c>
      <c r="I22" s="20">
        <v>0</v>
      </c>
      <c r="J22" s="20">
        <v>0</v>
      </c>
      <c r="K22" s="20">
        <v>49632.5221875</v>
      </c>
      <c r="L22" s="20">
        <v>825.2686272024185</v>
      </c>
      <c r="M22" s="20">
        <v>117.55125</v>
      </c>
      <c r="N22" s="20">
        <v>27396.457875</v>
      </c>
      <c r="O22" s="20">
        <f t="shared" si="2"/>
        <v>131770.77516209084</v>
      </c>
      <c r="P22" s="22">
        <f t="shared" si="1"/>
        <v>79247.77516209084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23260.17836095018</v>
      </c>
      <c r="F23" s="20">
        <v>17626.476117601545</v>
      </c>
      <c r="G23" s="20">
        <v>9373.57931005517</v>
      </c>
      <c r="H23" s="20">
        <v>4398.3</v>
      </c>
      <c r="I23" s="20">
        <v>0</v>
      </c>
      <c r="J23" s="20">
        <v>0</v>
      </c>
      <c r="K23" s="20">
        <v>49632.5221875</v>
      </c>
      <c r="L23" s="20">
        <v>839.5957239885613</v>
      </c>
      <c r="M23" s="20">
        <v>117.55125</v>
      </c>
      <c r="N23" s="20">
        <v>27396.457875</v>
      </c>
      <c r="O23" s="20">
        <f t="shared" si="2"/>
        <v>132644.66082509546</v>
      </c>
      <c r="P23" s="22">
        <f t="shared" si="1"/>
        <v>80121.66082509546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23663.995627850592</v>
      </c>
      <c r="F24" s="20">
        <v>17932.487331292185</v>
      </c>
      <c r="G24" s="20">
        <v>9538.280502505087</v>
      </c>
      <c r="H24" s="20">
        <v>4398.3</v>
      </c>
      <c r="I24" s="20">
        <v>0</v>
      </c>
      <c r="J24" s="20">
        <v>0</v>
      </c>
      <c r="K24" s="20">
        <v>49632.5221875</v>
      </c>
      <c r="L24" s="20">
        <v>854.1718482684821</v>
      </c>
      <c r="M24" s="20">
        <v>117.55125</v>
      </c>
      <c r="N24" s="20">
        <v>27396.457875</v>
      </c>
      <c r="O24" s="20">
        <f t="shared" si="2"/>
        <v>133533.76662241635</v>
      </c>
      <c r="P24" s="22">
        <f t="shared" si="1"/>
        <v>81010.76662241635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24074.832012806248</v>
      </c>
      <c r="F25" s="20">
        <v>18243.81760637813</v>
      </c>
      <c r="G25" s="20">
        <v>9705.875625</v>
      </c>
      <c r="H25" s="20">
        <v>4398.3</v>
      </c>
      <c r="I25" s="20">
        <v>0</v>
      </c>
      <c r="J25" s="20">
        <v>0</v>
      </c>
      <c r="K25" s="20">
        <v>49632.5221875</v>
      </c>
      <c r="L25" s="20">
        <v>869.0013335250001</v>
      </c>
      <c r="M25" s="20">
        <v>117.55125</v>
      </c>
      <c r="N25" s="20">
        <v>27396.457875</v>
      </c>
      <c r="O25" s="20">
        <f t="shared" si="2"/>
        <v>134438.3578902094</v>
      </c>
      <c r="P25" s="22">
        <f t="shared" si="1"/>
        <v>81915.35789020939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24492.809662157983</v>
      </c>
      <c r="F26" s="20">
        <v>18560.55950489935</v>
      </c>
      <c r="G26" s="20">
        <v>9876.415526176632</v>
      </c>
      <c r="H26" s="20">
        <v>4398.3</v>
      </c>
      <c r="I26" s="20">
        <v>0</v>
      </c>
      <c r="J26" s="20">
        <v>0</v>
      </c>
      <c r="K26" s="20">
        <v>49632.5221875</v>
      </c>
      <c r="L26" s="20">
        <v>884.0885887331398</v>
      </c>
      <c r="M26" s="20">
        <v>117.55125</v>
      </c>
      <c r="N26" s="20">
        <v>27396.457875</v>
      </c>
      <c r="O26" s="20">
        <f t="shared" si="2"/>
        <v>135358.7045944671</v>
      </c>
      <c r="P26" s="22">
        <f t="shared" si="1"/>
        <v>82835.7045944671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24918.052850156433</v>
      </c>
      <c r="F27" s="20">
        <v>18882.807201417927</v>
      </c>
      <c r="G27" s="20">
        <v>10049.951948122438</v>
      </c>
      <c r="H27" s="20">
        <v>4398.3</v>
      </c>
      <c r="I27" s="20">
        <v>0</v>
      </c>
      <c r="J27" s="20">
        <v>0</v>
      </c>
      <c r="K27" s="20">
        <v>49632.5221875</v>
      </c>
      <c r="L27" s="20">
        <v>899.4380996766225</v>
      </c>
      <c r="M27" s="20">
        <v>117.55125</v>
      </c>
      <c r="N27" s="20">
        <v>27396.457875</v>
      </c>
      <c r="O27" s="20">
        <f t="shared" si="2"/>
        <v>136295.08141187343</v>
      </c>
      <c r="P27" s="22">
        <f t="shared" si="1"/>
        <v>83772.08141187343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25350.688016070693</v>
      </c>
      <c r="F28" s="20">
        <v>19210.656511138815</v>
      </c>
      <c r="G28" s="20">
        <v>10226.537542074213</v>
      </c>
      <c r="H28" s="20">
        <v>4398.3</v>
      </c>
      <c r="I28" s="20">
        <v>0</v>
      </c>
      <c r="J28" s="20">
        <v>0</v>
      </c>
      <c r="K28" s="20">
        <v>49632.5221875</v>
      </c>
      <c r="L28" s="20">
        <v>915.0544302873332</v>
      </c>
      <c r="M28" s="20">
        <v>117.55125</v>
      </c>
      <c r="N28" s="20">
        <v>27396.457875</v>
      </c>
      <c r="O28" s="20">
        <f t="shared" si="2"/>
        <v>137247.76781207108</v>
      </c>
      <c r="P28" s="22">
        <f t="shared" si="1"/>
        <v>84724.76781207108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25790.843801944822</v>
      </c>
      <c r="F29" s="25">
        <v>19544.204918521602</v>
      </c>
      <c r="G29" s="25">
        <v>10406.225884392574</v>
      </c>
      <c r="H29" s="25">
        <v>4398.3</v>
      </c>
      <c r="I29" s="25">
        <v>0</v>
      </c>
      <c r="J29" s="25">
        <v>0</v>
      </c>
      <c r="K29" s="25">
        <v>49632.5221875</v>
      </c>
      <c r="L29" s="25">
        <v>930.9422240081739</v>
      </c>
      <c r="M29" s="25">
        <v>117.55125</v>
      </c>
      <c r="N29" s="25">
        <v>27396.457875</v>
      </c>
      <c r="O29" s="25">
        <f t="shared" si="2"/>
        <v>138217.04814136718</v>
      </c>
      <c r="P29" s="26">
        <f t="shared" si="1"/>
        <v>85694.04814136718</v>
      </c>
    </row>
    <row r="30" spans="1:16" ht="12.75">
      <c r="A30" s="60" t="s">
        <v>43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58" t="s">
        <v>63</v>
      </c>
      <c r="N30" s="57"/>
      <c r="O30" s="57"/>
      <c r="P30" s="59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-2310684.0067542703</v>
      </c>
      <c r="L32" s="53"/>
      <c r="M32" s="52">
        <f>NPV(M31,P5:P29)</f>
        <v>-2327943.771028869</v>
      </c>
      <c r="N32" s="53"/>
      <c r="O32" s="52">
        <f>NPV(0.06,P5:P29)</f>
        <v>-2288855.763374864</v>
      </c>
      <c r="P32" s="77"/>
    </row>
  </sheetData>
  <mergeCells count="15"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  <mergeCell ref="A30:H32"/>
    <mergeCell ref="P2:P3"/>
    <mergeCell ref="O31:P31"/>
    <mergeCell ref="M31:N31"/>
    <mergeCell ref="K31:L31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4">
      <selection activeCell="L36" sqref="L36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spans="1:16" ht="15.75" thickBot="1">
      <c r="A1" s="81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v>106270</v>
      </c>
      <c r="C5" s="19">
        <v>0</v>
      </c>
      <c r="D5" s="20">
        <f aca="true" t="shared" si="0" ref="D5:D29">C5+B5</f>
        <v>106270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</v>
      </c>
    </row>
    <row r="6" spans="1:16" ht="12.75">
      <c r="A6" s="21">
        <v>2006</v>
      </c>
      <c r="B6" s="20">
        <v>138960</v>
      </c>
      <c r="C6" s="19">
        <v>0</v>
      </c>
      <c r="D6" s="20">
        <f t="shared" si="0"/>
        <v>138960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-138960</v>
      </c>
    </row>
    <row r="7" spans="1:16" ht="12.75">
      <c r="A7" s="21">
        <v>2007</v>
      </c>
      <c r="B7" s="20">
        <v>844326</v>
      </c>
      <c r="C7" s="19">
        <v>0</v>
      </c>
      <c r="D7" s="20">
        <f t="shared" si="0"/>
        <v>844326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</v>
      </c>
    </row>
    <row r="8" spans="1:16" ht="12.75">
      <c r="A8" s="21">
        <v>2008</v>
      </c>
      <c r="B8" s="20">
        <v>1034372</v>
      </c>
      <c r="C8" s="19">
        <v>0</v>
      </c>
      <c r="D8" s="20">
        <f t="shared" si="0"/>
        <v>1034372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-1034372</v>
      </c>
    </row>
    <row r="9" spans="1:16" ht="12.75">
      <c r="A9" s="21">
        <v>2009</v>
      </c>
      <c r="B9" s="20">
        <v>1315684</v>
      </c>
      <c r="C9" s="19">
        <v>0</v>
      </c>
      <c r="D9" s="20">
        <f t="shared" si="0"/>
        <v>1315684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3863.356906240001</v>
      </c>
      <c r="F10" s="20">
        <v>616.8519966720003</v>
      </c>
      <c r="G10" s="20">
        <v>1556.864</v>
      </c>
      <c r="H10" s="20">
        <v>926.72</v>
      </c>
      <c r="I10" s="20">
        <v>0</v>
      </c>
      <c r="J10" s="20">
        <v>0</v>
      </c>
      <c r="K10" s="20">
        <v>10457.552</v>
      </c>
      <c r="L10" s="20">
        <v>139.45112063999997</v>
      </c>
      <c r="M10" s="20">
        <v>24.768</v>
      </c>
      <c r="N10" s="20">
        <v>5772.4224</v>
      </c>
      <c r="O10" s="20">
        <f aca="true" t="shared" si="2" ref="O10:O29">SUM(E10:N10)</f>
        <v>23357.986423552</v>
      </c>
      <c r="P10" s="22">
        <f t="shared" si="1"/>
        <v>-29165.013576448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6299.651910427696</v>
      </c>
      <c r="F11" s="20">
        <v>1609.358059778286</v>
      </c>
      <c r="G11" s="20">
        <v>2538.1810087868066</v>
      </c>
      <c r="H11" s="20">
        <v>1482.752</v>
      </c>
      <c r="I11" s="20">
        <v>0</v>
      </c>
      <c r="J11" s="20">
        <v>0</v>
      </c>
      <c r="K11" s="20">
        <v>16732.0832</v>
      </c>
      <c r="L11" s="20">
        <v>227.39124027918254</v>
      </c>
      <c r="M11" s="20">
        <v>39.628800000000005</v>
      </c>
      <c r="N11" s="20">
        <v>9235.875840000002</v>
      </c>
      <c r="O11" s="20">
        <f t="shared" si="2"/>
        <v>38164.92205927197</v>
      </c>
      <c r="P11" s="22">
        <f t="shared" si="1"/>
        <v>-14358.077940728028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10272.315548622411</v>
      </c>
      <c r="F12" s="20">
        <v>4198.792963375376</v>
      </c>
      <c r="G12" s="20">
        <v>4138.038282962424</v>
      </c>
      <c r="H12" s="20">
        <v>2372.4032</v>
      </c>
      <c r="I12" s="20">
        <v>0</v>
      </c>
      <c r="J12" s="20">
        <v>0</v>
      </c>
      <c r="K12" s="20">
        <v>26771.333120000003</v>
      </c>
      <c r="L12" s="20">
        <v>370.7878794499609</v>
      </c>
      <c r="M12" s="20">
        <v>63.40608000000002</v>
      </c>
      <c r="N12" s="20">
        <v>14777.401344000005</v>
      </c>
      <c r="O12" s="20">
        <f t="shared" si="2"/>
        <v>62964.47841841019</v>
      </c>
      <c r="P12" s="22">
        <f t="shared" si="1"/>
        <v>10441.478418410188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16750.208887828947</v>
      </c>
      <c r="F13" s="20">
        <v>10954.594824177215</v>
      </c>
      <c r="G13" s="20">
        <v>6746.311934406596</v>
      </c>
      <c r="H13" s="20">
        <v>3795.84512</v>
      </c>
      <c r="I13" s="20">
        <v>0</v>
      </c>
      <c r="J13" s="20">
        <v>0</v>
      </c>
      <c r="K13" s="20">
        <v>42834.132992000006</v>
      </c>
      <c r="L13" s="20">
        <v>604.6128941877074</v>
      </c>
      <c r="M13" s="20">
        <v>101.44972800000004</v>
      </c>
      <c r="N13" s="20">
        <v>23643.842150400014</v>
      </c>
      <c r="O13" s="20">
        <f t="shared" si="2"/>
        <v>105430.99853100048</v>
      </c>
      <c r="P13" s="22">
        <f t="shared" si="1"/>
        <v>52907.998531000485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27313.17453980862</v>
      </c>
      <c r="F14" s="20">
        <v>28580.39681289418</v>
      </c>
      <c r="G14" s="20">
        <v>10998.62340658054</v>
      </c>
      <c r="H14" s="20">
        <v>6073.352192000002</v>
      </c>
      <c r="I14" s="20">
        <v>0</v>
      </c>
      <c r="J14" s="20">
        <v>0</v>
      </c>
      <c r="K14" s="20">
        <v>68534.61278720002</v>
      </c>
      <c r="L14" s="20">
        <v>985.8920338579801</v>
      </c>
      <c r="M14" s="20">
        <v>162.31956480000005</v>
      </c>
      <c r="N14" s="20">
        <v>37830.147440640016</v>
      </c>
      <c r="O14" s="20">
        <f t="shared" si="2"/>
        <v>180478.5187777814</v>
      </c>
      <c r="P14" s="22">
        <f t="shared" si="1"/>
        <v>127955.5187777814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27835.833298976784</v>
      </c>
      <c r="F15" s="20">
        <v>29127.304852199144</v>
      </c>
      <c r="G15" s="20">
        <v>11207.023001600002</v>
      </c>
      <c r="H15" s="20">
        <v>6073.352192000002</v>
      </c>
      <c r="I15" s="20">
        <v>0</v>
      </c>
      <c r="J15" s="20">
        <v>0</v>
      </c>
      <c r="K15" s="20">
        <v>68534.61278720002</v>
      </c>
      <c r="L15" s="20">
        <v>1004.7578418708482</v>
      </c>
      <c r="M15" s="20">
        <v>162.31956480000005</v>
      </c>
      <c r="N15" s="20">
        <v>37830.147440640016</v>
      </c>
      <c r="O15" s="20">
        <f t="shared" si="2"/>
        <v>181775.35097928686</v>
      </c>
      <c r="P15" s="22">
        <f t="shared" si="1"/>
        <v>129252.35097928686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28349.791932084376</v>
      </c>
      <c r="F16" s="20">
        <v>29665.109114322477</v>
      </c>
      <c r="G16" s="20">
        <v>11414.667013471006</v>
      </c>
      <c r="H16" s="20">
        <v>6073.352192000002</v>
      </c>
      <c r="I16" s="20">
        <v>0</v>
      </c>
      <c r="J16" s="20">
        <v>0</v>
      </c>
      <c r="K16" s="20">
        <v>68534.61278720002</v>
      </c>
      <c r="L16" s="20">
        <v>1023.3096115076874</v>
      </c>
      <c r="M16" s="20">
        <v>162.31956480000005</v>
      </c>
      <c r="N16" s="20">
        <v>37830.147440640016</v>
      </c>
      <c r="O16" s="20">
        <f t="shared" si="2"/>
        <v>183053.3096560256</v>
      </c>
      <c r="P16" s="22">
        <f t="shared" si="1"/>
        <v>130530.30965602561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28873.240259649298</v>
      </c>
      <c r="F17" s="20">
        <v>30212.843354846103</v>
      </c>
      <c r="G17" s="20">
        <v>11626.158258961474</v>
      </c>
      <c r="H17" s="20">
        <v>6073.352192000002</v>
      </c>
      <c r="I17" s="20">
        <v>0</v>
      </c>
      <c r="J17" s="20">
        <v>0</v>
      </c>
      <c r="K17" s="20">
        <v>68534.61278720002</v>
      </c>
      <c r="L17" s="20">
        <v>1042.2039196566868</v>
      </c>
      <c r="M17" s="20">
        <v>162.31956480000005</v>
      </c>
      <c r="N17" s="20">
        <v>37830.147440640016</v>
      </c>
      <c r="O17" s="20">
        <f t="shared" si="2"/>
        <v>184354.87777775363</v>
      </c>
      <c r="P17" s="22">
        <f t="shared" si="1"/>
        <v>131831.87777775363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29406.35349874384</v>
      </c>
      <c r="F18" s="20">
        <v>30770.690920215053</v>
      </c>
      <c r="G18" s="20">
        <v>11841.56801971536</v>
      </c>
      <c r="H18" s="20">
        <v>6073.352192000002</v>
      </c>
      <c r="I18" s="20">
        <v>0</v>
      </c>
      <c r="J18" s="20">
        <v>0</v>
      </c>
      <c r="K18" s="20">
        <v>68534.61278720002</v>
      </c>
      <c r="L18" s="20">
        <v>1061.44709092561</v>
      </c>
      <c r="M18" s="20">
        <v>162.31956480000005</v>
      </c>
      <c r="N18" s="20">
        <v>37830.147440640016</v>
      </c>
      <c r="O18" s="20">
        <f t="shared" si="2"/>
        <v>185680.49151423993</v>
      </c>
      <c r="P18" s="22">
        <f t="shared" si="1"/>
        <v>133157.49151423993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29949.310101637304</v>
      </c>
      <c r="F19" s="20">
        <v>31338.83854217159</v>
      </c>
      <c r="G19" s="20">
        <v>12060.968898084753</v>
      </c>
      <c r="H19" s="20">
        <v>6073.352192000002</v>
      </c>
      <c r="I19" s="20">
        <v>0</v>
      </c>
      <c r="J19" s="20">
        <v>0</v>
      </c>
      <c r="K19" s="20">
        <v>68534.61278720002</v>
      </c>
      <c r="L19" s="20">
        <v>1081.0455666993823</v>
      </c>
      <c r="M19" s="20">
        <v>162.31956480000005</v>
      </c>
      <c r="N19" s="20">
        <v>37830.147440640016</v>
      </c>
      <c r="O19" s="20">
        <f t="shared" si="2"/>
        <v>187030.59509323307</v>
      </c>
      <c r="P19" s="22">
        <f t="shared" si="1"/>
        <v>134507.59509323307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30502.29181553051</v>
      </c>
      <c r="F20" s="20">
        <v>31917.476400261185</v>
      </c>
      <c r="G20" s="20">
        <v>12284.434841600005</v>
      </c>
      <c r="H20" s="20">
        <v>6073.352192000002</v>
      </c>
      <c r="I20" s="20">
        <v>0</v>
      </c>
      <c r="J20" s="20">
        <v>0</v>
      </c>
      <c r="K20" s="20">
        <v>68534.61278720002</v>
      </c>
      <c r="L20" s="20">
        <v>1101.0059072962563</v>
      </c>
      <c r="M20" s="20">
        <v>162.31956480000005</v>
      </c>
      <c r="N20" s="20">
        <v>37830.147440640016</v>
      </c>
      <c r="O20" s="20">
        <f t="shared" si="2"/>
        <v>188405.64094932802</v>
      </c>
      <c r="P20" s="22">
        <f t="shared" si="1"/>
        <v>135882.64094932802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31031.805683597882</v>
      </c>
      <c r="F21" s="20">
        <v>32471.557598154857</v>
      </c>
      <c r="G21" s="20">
        <v>12500.28206495624</v>
      </c>
      <c r="H21" s="20">
        <v>6073.352192000002</v>
      </c>
      <c r="I21" s="20">
        <v>0</v>
      </c>
      <c r="J21" s="20">
        <v>0</v>
      </c>
      <c r="K21" s="20">
        <v>68534.61278720002</v>
      </c>
      <c r="L21" s="20">
        <v>1120.119156237132</v>
      </c>
      <c r="M21" s="20">
        <v>162.31956480000005</v>
      </c>
      <c r="N21" s="20">
        <v>37830.147440640016</v>
      </c>
      <c r="O21" s="20">
        <f t="shared" si="2"/>
        <v>189724.19648758616</v>
      </c>
      <c r="P21" s="22">
        <f t="shared" si="1"/>
        <v>137201.19648758616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31570.52297296876</v>
      </c>
      <c r="F22" s="20">
        <v>33035.26921936336</v>
      </c>
      <c r="G22" s="20">
        <v>12719.921894519546</v>
      </c>
      <c r="H22" s="20">
        <v>6073.352192000002</v>
      </c>
      <c r="I22" s="20">
        <v>0</v>
      </c>
      <c r="J22" s="20">
        <v>0</v>
      </c>
      <c r="K22" s="20">
        <v>68534.61278720002</v>
      </c>
      <c r="L22" s="20">
        <v>1139.564610419626</v>
      </c>
      <c r="M22" s="20">
        <v>162.31956480000005</v>
      </c>
      <c r="N22" s="20">
        <v>37830.147440640016</v>
      </c>
      <c r="O22" s="20">
        <f t="shared" si="2"/>
        <v>191065.71068191135</v>
      </c>
      <c r="P22" s="22">
        <f t="shared" si="1"/>
        <v>138542.71068191135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32118.603832114186</v>
      </c>
      <c r="F23" s="20">
        <v>33608.77884260754</v>
      </c>
      <c r="G23" s="20">
        <v>12943.420969376673</v>
      </c>
      <c r="H23" s="20">
        <v>6073.352192000002</v>
      </c>
      <c r="I23" s="20">
        <v>0</v>
      </c>
      <c r="J23" s="20">
        <v>0</v>
      </c>
      <c r="K23" s="20">
        <v>68534.61278720002</v>
      </c>
      <c r="L23" s="20">
        <v>1159.3480505376526</v>
      </c>
      <c r="M23" s="20">
        <v>162.31956480000005</v>
      </c>
      <c r="N23" s="20">
        <v>37830.147440640016</v>
      </c>
      <c r="O23" s="20">
        <f t="shared" si="2"/>
        <v>192430.58367927614</v>
      </c>
      <c r="P23" s="22">
        <f t="shared" si="1"/>
        <v>139907.58367927614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32676.21119930084</v>
      </c>
      <c r="F24" s="20">
        <v>34192.25696583926</v>
      </c>
      <c r="G24" s="20">
        <v>13170.847099515759</v>
      </c>
      <c r="H24" s="20">
        <v>6073.352192000002</v>
      </c>
      <c r="I24" s="20">
        <v>0</v>
      </c>
      <c r="J24" s="20">
        <v>0</v>
      </c>
      <c r="K24" s="20">
        <v>68534.61278720002</v>
      </c>
      <c r="L24" s="20">
        <v>1179.4753579851485</v>
      </c>
      <c r="M24" s="20">
        <v>162.31956480000005</v>
      </c>
      <c r="N24" s="20">
        <v>37830.147440640016</v>
      </c>
      <c r="O24" s="20">
        <f t="shared" si="2"/>
        <v>193819.2226072811</v>
      </c>
      <c r="P24" s="22">
        <f t="shared" si="1"/>
        <v>141296.2226072811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33243.51085123995</v>
      </c>
      <c r="F25" s="20">
        <v>34785.87705714741</v>
      </c>
      <c r="G25" s="20">
        <v>13402.269286400004</v>
      </c>
      <c r="H25" s="20">
        <v>6073.352192000002</v>
      </c>
      <c r="I25" s="20">
        <v>0</v>
      </c>
      <c r="J25" s="20">
        <v>0</v>
      </c>
      <c r="K25" s="20">
        <v>68534.61278720002</v>
      </c>
      <c r="L25" s="20">
        <v>1199.9525166120961</v>
      </c>
      <c r="M25" s="20">
        <v>162.31956480000005</v>
      </c>
      <c r="N25" s="20">
        <v>37830.147440640016</v>
      </c>
      <c r="O25" s="20">
        <f t="shared" si="2"/>
        <v>195232.04169603952</v>
      </c>
      <c r="P25" s="22">
        <f t="shared" si="1"/>
        <v>142709.04169603952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33820.671452585324</v>
      </c>
      <c r="F26" s="20">
        <v>35389.815606552474</v>
      </c>
      <c r="G26" s="20">
        <v>13637.757743902803</v>
      </c>
      <c r="H26" s="20">
        <v>6073.352192000002</v>
      </c>
      <c r="I26" s="20">
        <v>0</v>
      </c>
      <c r="J26" s="20">
        <v>0</v>
      </c>
      <c r="K26" s="20">
        <v>68534.61278720002</v>
      </c>
      <c r="L26" s="20">
        <v>1220.7856145111982</v>
      </c>
      <c r="M26" s="20">
        <v>162.31956480000005</v>
      </c>
      <c r="N26" s="20">
        <v>37830.147440640016</v>
      </c>
      <c r="O26" s="20">
        <f t="shared" si="2"/>
        <v>196669.46240219186</v>
      </c>
      <c r="P26" s="22">
        <f t="shared" si="1"/>
        <v>144146.46240219186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34407.864606295494</v>
      </c>
      <c r="F27" s="20">
        <v>36004.25217870529</v>
      </c>
      <c r="G27" s="20">
        <v>13877.38391961078</v>
      </c>
      <c r="H27" s="20">
        <v>6073.352192000002</v>
      </c>
      <c r="I27" s="20">
        <v>0</v>
      </c>
      <c r="J27" s="20">
        <v>0</v>
      </c>
      <c r="K27" s="20">
        <v>68534.61278720002</v>
      </c>
      <c r="L27" s="20">
        <v>1241.980845835739</v>
      </c>
      <c r="M27" s="20">
        <v>162.31956480000005</v>
      </c>
      <c r="N27" s="20">
        <v>37830.147440640016</v>
      </c>
      <c r="O27" s="20">
        <f t="shared" si="2"/>
        <v>198131.91353508734</v>
      </c>
      <c r="P27" s="22">
        <f t="shared" si="1"/>
        <v>145608.91353508734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35005.26490487488</v>
      </c>
      <c r="F28" s="20">
        <v>36629.36946650554</v>
      </c>
      <c r="G28" s="20">
        <v>14121.220516501087</v>
      </c>
      <c r="H28" s="20">
        <v>6073.352192000002</v>
      </c>
      <c r="I28" s="20">
        <v>0</v>
      </c>
      <c r="J28" s="20">
        <v>0</v>
      </c>
      <c r="K28" s="20">
        <v>68534.61278720002</v>
      </c>
      <c r="L28" s="20">
        <v>1263.5445126491798</v>
      </c>
      <c r="M28" s="20">
        <v>162.31956480000005</v>
      </c>
      <c r="N28" s="20">
        <v>37830.147440640016</v>
      </c>
      <c r="O28" s="20">
        <f t="shared" si="2"/>
        <v>199619.83138517075</v>
      </c>
      <c r="P28" s="22">
        <f t="shared" si="1"/>
        <v>147096.83138517075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35613.049982509445</v>
      </c>
      <c r="F29" s="25">
        <v>37265.35334565638</v>
      </c>
      <c r="G29" s="25">
        <v>14369.341514999613</v>
      </c>
      <c r="H29" s="25">
        <v>6073.352192000002</v>
      </c>
      <c r="I29" s="25">
        <v>0</v>
      </c>
      <c r="J29" s="25">
        <v>0</v>
      </c>
      <c r="K29" s="25">
        <v>68534.61278720002</v>
      </c>
      <c r="L29" s="25">
        <v>1285.4830268070389</v>
      </c>
      <c r="M29" s="25">
        <v>162.31956480000005</v>
      </c>
      <c r="N29" s="25">
        <v>37830.147440640016</v>
      </c>
      <c r="O29" s="25">
        <f t="shared" si="2"/>
        <v>201133.65985461255</v>
      </c>
      <c r="P29" s="26">
        <f t="shared" si="1"/>
        <v>148610.65985461255</v>
      </c>
    </row>
    <row r="30" spans="1:16" ht="12.75">
      <c r="A30" s="60" t="s">
        <v>39</v>
      </c>
      <c r="B30" s="61"/>
      <c r="C30" s="61"/>
      <c r="D30" s="61"/>
      <c r="E30" s="61"/>
      <c r="F30" s="61"/>
      <c r="G30" s="61"/>
      <c r="H30" s="62"/>
      <c r="I30" s="76" t="s">
        <v>24</v>
      </c>
      <c r="J30" s="51"/>
      <c r="K30" s="51"/>
      <c r="L30" s="51"/>
      <c r="M30" s="58" t="s">
        <v>63</v>
      </c>
      <c r="N30" s="57"/>
      <c r="O30" s="57"/>
      <c r="P30" s="59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-1604371.415748326</v>
      </c>
      <c r="L32" s="53"/>
      <c r="M32" s="52">
        <f>NPV(M31,P5:P29)</f>
        <v>-1727668.3536825292</v>
      </c>
      <c r="N32" s="53"/>
      <c r="O32" s="52">
        <f>NPV(0.06,P5:P29)</f>
        <v>-1911988.3766021288</v>
      </c>
      <c r="P32" s="77"/>
    </row>
  </sheetData>
  <mergeCells count="15">
    <mergeCell ref="P2:P3"/>
    <mergeCell ref="O31:P31"/>
    <mergeCell ref="M31:N31"/>
    <mergeCell ref="K31:L31"/>
    <mergeCell ref="B2:D2"/>
    <mergeCell ref="A2:A3"/>
    <mergeCell ref="M30:P30"/>
    <mergeCell ref="E2:O2"/>
    <mergeCell ref="A30:H32"/>
    <mergeCell ref="I31:J31"/>
    <mergeCell ref="I30:L30"/>
    <mergeCell ref="M32:N32"/>
    <mergeCell ref="O32:P32"/>
    <mergeCell ref="I32:J32"/>
    <mergeCell ref="K32:L32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7">
      <selection activeCell="O32" sqref="O32:P32"/>
    </sheetView>
  </sheetViews>
  <sheetFormatPr defaultColWidth="9.140625" defaultRowHeight="12.75"/>
  <cols>
    <col min="1" max="15" width="7.7109375" style="0" customWidth="1"/>
    <col min="16" max="16" width="9.00390625" style="0" customWidth="1"/>
  </cols>
  <sheetData>
    <row r="1" ht="15.75" thickBot="1">
      <c r="A1" s="81" t="s">
        <v>79</v>
      </c>
    </row>
    <row r="2" spans="1:16" ht="16.5" customHeight="1">
      <c r="A2" s="71" t="s">
        <v>18</v>
      </c>
      <c r="B2" s="51" t="s">
        <v>25</v>
      </c>
      <c r="C2" s="51"/>
      <c r="D2" s="51"/>
      <c r="E2" s="51" t="s">
        <v>21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67" t="s">
        <v>26</v>
      </c>
    </row>
    <row r="3" spans="1:16" ht="75" customHeight="1" thickBot="1">
      <c r="A3" s="72"/>
      <c r="B3" s="80" t="s">
        <v>22</v>
      </c>
      <c r="C3" s="80" t="s">
        <v>23</v>
      </c>
      <c r="D3" s="80" t="s">
        <v>15</v>
      </c>
      <c r="E3" s="80" t="s">
        <v>27</v>
      </c>
      <c r="F3" s="80" t="s">
        <v>28</v>
      </c>
      <c r="G3" s="80" t="s">
        <v>29</v>
      </c>
      <c r="H3" s="80" t="s">
        <v>30</v>
      </c>
      <c r="I3" s="80" t="s">
        <v>31</v>
      </c>
      <c r="J3" s="80" t="s">
        <v>32</v>
      </c>
      <c r="K3" s="80" t="s">
        <v>33</v>
      </c>
      <c r="L3" s="80" t="s">
        <v>34</v>
      </c>
      <c r="M3" s="80" t="s">
        <v>35</v>
      </c>
      <c r="N3" s="80" t="s">
        <v>36</v>
      </c>
      <c r="O3" s="80" t="s">
        <v>15</v>
      </c>
      <c r="P3" s="68"/>
    </row>
    <row r="4" spans="1:16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>
      <c r="A5" s="21">
        <v>2005</v>
      </c>
      <c r="B5" s="20">
        <v>106270</v>
      </c>
      <c r="C5" s="19">
        <v>0</v>
      </c>
      <c r="D5" s="20">
        <f aca="true" t="shared" si="0" ref="D5:D29">C5+B5</f>
        <v>106270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2">
        <f aca="true" t="shared" si="1" ref="P5:P29">O5-D5</f>
        <v>-106270</v>
      </c>
    </row>
    <row r="6" spans="1:16" ht="12.75">
      <c r="A6" s="21">
        <v>2006</v>
      </c>
      <c r="B6" s="20">
        <v>138960</v>
      </c>
      <c r="C6" s="19">
        <v>0</v>
      </c>
      <c r="D6" s="20">
        <f t="shared" si="0"/>
        <v>138960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2">
        <f t="shared" si="1"/>
        <v>-138960</v>
      </c>
    </row>
    <row r="7" spans="1:16" ht="12.75">
      <c r="A7" s="21">
        <v>2007</v>
      </c>
      <c r="B7" s="20">
        <v>844326</v>
      </c>
      <c r="C7" s="19">
        <v>0</v>
      </c>
      <c r="D7" s="20">
        <f t="shared" si="0"/>
        <v>844326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2">
        <f t="shared" si="1"/>
        <v>-844326</v>
      </c>
    </row>
    <row r="8" spans="1:16" ht="12.75">
      <c r="A8" s="21">
        <v>2008</v>
      </c>
      <c r="B8" s="20">
        <v>1034372</v>
      </c>
      <c r="C8" s="19">
        <v>0</v>
      </c>
      <c r="D8" s="20">
        <f t="shared" si="0"/>
        <v>1034372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2">
        <f t="shared" si="1"/>
        <v>-1034372</v>
      </c>
    </row>
    <row r="9" spans="1:16" ht="12.75">
      <c r="A9" s="21">
        <v>2009</v>
      </c>
      <c r="B9" s="20">
        <v>1315684</v>
      </c>
      <c r="C9" s="19">
        <v>0</v>
      </c>
      <c r="D9" s="20">
        <f t="shared" si="0"/>
        <v>1315684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2">
        <f t="shared" si="1"/>
        <v>-1315684</v>
      </c>
    </row>
    <row r="10" spans="1:16" ht="12.75">
      <c r="A10" s="21">
        <v>2010</v>
      </c>
      <c r="B10" s="19">
        <v>0</v>
      </c>
      <c r="C10" s="20">
        <v>52523</v>
      </c>
      <c r="D10" s="20">
        <f t="shared" si="0"/>
        <v>52523</v>
      </c>
      <c r="E10" s="20">
        <v>4104.81671288</v>
      </c>
      <c r="F10" s="20">
        <v>696.3680743680001</v>
      </c>
      <c r="G10" s="20">
        <v>1654.168</v>
      </c>
      <c r="H10" s="20">
        <v>984.64</v>
      </c>
      <c r="I10" s="20">
        <v>0</v>
      </c>
      <c r="J10" s="20">
        <v>0</v>
      </c>
      <c r="K10" s="20">
        <v>11111.149</v>
      </c>
      <c r="L10" s="20">
        <v>148.16681567999996</v>
      </c>
      <c r="M10" s="20">
        <v>26.316</v>
      </c>
      <c r="N10" s="20">
        <v>6133.198800000001</v>
      </c>
      <c r="O10" s="20">
        <f aca="true" t="shared" si="2" ref="O10:O29">SUM(E10:N10)</f>
        <v>24858.823402928</v>
      </c>
      <c r="P10" s="22">
        <f t="shared" si="1"/>
        <v>-27664.176597072</v>
      </c>
    </row>
    <row r="11" spans="1:16" ht="12.75">
      <c r="A11" s="21">
        <v>2011</v>
      </c>
      <c r="B11" s="19">
        <v>0</v>
      </c>
      <c r="C11" s="20">
        <v>52523</v>
      </c>
      <c r="D11" s="20">
        <f t="shared" si="0"/>
        <v>52523</v>
      </c>
      <c r="E11" s="20">
        <v>7111.716414506266</v>
      </c>
      <c r="F11" s="20">
        <v>2051.0130998343225</v>
      </c>
      <c r="G11" s="20">
        <v>2865.3684044507304</v>
      </c>
      <c r="H11" s="20">
        <v>1673.888</v>
      </c>
      <c r="I11" s="20">
        <v>0</v>
      </c>
      <c r="J11" s="20">
        <v>0</v>
      </c>
      <c r="K11" s="20">
        <v>18888.953299999997</v>
      </c>
      <c r="L11" s="20">
        <v>256.70339234642086</v>
      </c>
      <c r="M11" s="20">
        <v>44.737199999999994</v>
      </c>
      <c r="N11" s="20">
        <v>10426.437960000001</v>
      </c>
      <c r="O11" s="20">
        <f t="shared" si="2"/>
        <v>43318.81777113774</v>
      </c>
      <c r="P11" s="22">
        <f t="shared" si="1"/>
        <v>-9204.182228862257</v>
      </c>
    </row>
    <row r="12" spans="1:16" ht="12.75">
      <c r="A12" s="21">
        <v>2012</v>
      </c>
      <c r="B12" s="19">
        <v>0</v>
      </c>
      <c r="C12" s="20">
        <v>52523</v>
      </c>
      <c r="D12" s="20">
        <f t="shared" si="0"/>
        <v>52523</v>
      </c>
      <c r="E12" s="20">
        <v>12321.261301362763</v>
      </c>
      <c r="F12" s="20">
        <v>6040.850572001191</v>
      </c>
      <c r="G12" s="20">
        <v>4963.42336039902</v>
      </c>
      <c r="H12" s="20">
        <v>2845.6096000000002</v>
      </c>
      <c r="I12" s="20">
        <v>0</v>
      </c>
      <c r="J12" s="20">
        <v>0</v>
      </c>
      <c r="K12" s="20">
        <v>32111.22061</v>
      </c>
      <c r="L12" s="20">
        <v>444.746301693764</v>
      </c>
      <c r="M12" s="20">
        <v>76.05324000000002</v>
      </c>
      <c r="N12" s="20">
        <v>17724.944532</v>
      </c>
      <c r="O12" s="20">
        <f t="shared" si="2"/>
        <v>76528.10951745673</v>
      </c>
      <c r="P12" s="22">
        <f t="shared" si="1"/>
        <v>24005.10951745673</v>
      </c>
    </row>
    <row r="13" spans="1:16" ht="12.75">
      <c r="A13" s="21">
        <v>2013</v>
      </c>
      <c r="B13" s="19">
        <v>0</v>
      </c>
      <c r="C13" s="20">
        <v>52523</v>
      </c>
      <c r="D13" s="20">
        <f t="shared" si="0"/>
        <v>52523</v>
      </c>
      <c r="E13" s="20">
        <v>21346.957344365856</v>
      </c>
      <c r="F13" s="20">
        <v>17792.12531584646</v>
      </c>
      <c r="G13" s="20">
        <v>8597.697739770098</v>
      </c>
      <c r="H13" s="20">
        <v>4837.53632</v>
      </c>
      <c r="I13" s="20">
        <v>0</v>
      </c>
      <c r="J13" s="20">
        <v>0</v>
      </c>
      <c r="K13" s="20">
        <v>54589.075036999995</v>
      </c>
      <c r="L13" s="20">
        <v>770.5364003822554</v>
      </c>
      <c r="M13" s="20">
        <v>129.290508</v>
      </c>
      <c r="N13" s="20">
        <v>30132.405704400004</v>
      </c>
      <c r="O13" s="20">
        <f t="shared" si="2"/>
        <v>138195.62436976467</v>
      </c>
      <c r="P13" s="22">
        <f t="shared" si="1"/>
        <v>85672.62436976467</v>
      </c>
    </row>
    <row r="14" spans="1:16" ht="12.75">
      <c r="A14" s="21">
        <v>2014</v>
      </c>
      <c r="B14" s="19">
        <v>0</v>
      </c>
      <c r="C14" s="20">
        <v>52523</v>
      </c>
      <c r="D14" s="20">
        <f t="shared" si="0"/>
        <v>52523</v>
      </c>
      <c r="E14" s="20">
        <v>36984.254896706596</v>
      </c>
      <c r="F14" s="20">
        <v>52403.17991338693</v>
      </c>
      <c r="G14" s="20">
        <v>14893.028673360077</v>
      </c>
      <c r="H14" s="20">
        <v>8223.811744</v>
      </c>
      <c r="I14" s="20">
        <v>0</v>
      </c>
      <c r="J14" s="20">
        <v>0</v>
      </c>
      <c r="K14" s="20">
        <v>92801.42756289997</v>
      </c>
      <c r="L14" s="20">
        <v>1334.977822797288</v>
      </c>
      <c r="M14" s="20">
        <v>219.79386359999998</v>
      </c>
      <c r="N14" s="20">
        <v>51225.08969748</v>
      </c>
      <c r="O14" s="20">
        <f t="shared" si="2"/>
        <v>258085.56417423085</v>
      </c>
      <c r="P14" s="22">
        <f t="shared" si="1"/>
        <v>205562.56417423085</v>
      </c>
    </row>
    <row r="15" spans="1:16" ht="12.75">
      <c r="A15" s="21">
        <v>2015</v>
      </c>
      <c r="B15" s="19">
        <v>0</v>
      </c>
      <c r="C15" s="20">
        <v>52523</v>
      </c>
      <c r="D15" s="20">
        <f t="shared" si="0"/>
        <v>52523</v>
      </c>
      <c r="E15" s="20">
        <v>37691.97727240109</v>
      </c>
      <c r="F15" s="20">
        <v>53405.955367044924</v>
      </c>
      <c r="G15" s="20">
        <v>15175.218637449998</v>
      </c>
      <c r="H15" s="20">
        <v>8223.811744</v>
      </c>
      <c r="I15" s="20">
        <v>0</v>
      </c>
      <c r="J15" s="20">
        <v>0</v>
      </c>
      <c r="K15" s="20">
        <v>92801.42756289997</v>
      </c>
      <c r="L15" s="20">
        <v>1360.5236578800354</v>
      </c>
      <c r="M15" s="20">
        <v>219.79386359999998</v>
      </c>
      <c r="N15" s="20">
        <v>51225.08969748</v>
      </c>
      <c r="O15" s="20">
        <f t="shared" si="2"/>
        <v>260103.79780275605</v>
      </c>
      <c r="P15" s="22">
        <f t="shared" si="1"/>
        <v>207580.79780275605</v>
      </c>
    </row>
    <row r="16" spans="1:16" ht="12.75">
      <c r="A16" s="21">
        <v>2016</v>
      </c>
      <c r="B16" s="19">
        <v>0</v>
      </c>
      <c r="C16" s="20">
        <v>52523</v>
      </c>
      <c r="D16" s="20">
        <f t="shared" si="0"/>
        <v>52523</v>
      </c>
      <c r="E16" s="20">
        <v>38387.918971360676</v>
      </c>
      <c r="F16" s="20">
        <v>54392.03871958679</v>
      </c>
      <c r="G16" s="20">
        <v>15456.385480638404</v>
      </c>
      <c r="H16" s="20">
        <v>8223.811744</v>
      </c>
      <c r="I16" s="20">
        <v>0</v>
      </c>
      <c r="J16" s="20">
        <v>0</v>
      </c>
      <c r="K16" s="20">
        <v>92801.42756289997</v>
      </c>
      <c r="L16" s="20">
        <v>1385.6442595162102</v>
      </c>
      <c r="M16" s="20">
        <v>219.79386359999998</v>
      </c>
      <c r="N16" s="20">
        <v>51225.08969748</v>
      </c>
      <c r="O16" s="20">
        <f t="shared" si="2"/>
        <v>262092.11029908204</v>
      </c>
      <c r="P16" s="22">
        <f t="shared" si="1"/>
        <v>209569.11029908204</v>
      </c>
    </row>
    <row r="17" spans="1:16" ht="12.75">
      <c r="A17" s="21">
        <v>2017</v>
      </c>
      <c r="B17" s="19">
        <v>0</v>
      </c>
      <c r="C17" s="20">
        <v>52523</v>
      </c>
      <c r="D17" s="20">
        <f t="shared" si="0"/>
        <v>52523</v>
      </c>
      <c r="E17" s="20">
        <v>39096.710486740914</v>
      </c>
      <c r="F17" s="20">
        <v>55396.32904273347</v>
      </c>
      <c r="G17" s="20">
        <v>15742.761790365461</v>
      </c>
      <c r="H17" s="20">
        <v>8223.811744</v>
      </c>
      <c r="I17" s="20">
        <v>0</v>
      </c>
      <c r="J17" s="20">
        <v>0</v>
      </c>
      <c r="K17" s="20">
        <v>92801.42756289997</v>
      </c>
      <c r="L17" s="20">
        <v>1411.2286860961756</v>
      </c>
      <c r="M17" s="20">
        <v>219.79386359999998</v>
      </c>
      <c r="N17" s="20">
        <v>51225.08969748</v>
      </c>
      <c r="O17" s="20">
        <f t="shared" si="2"/>
        <v>264117.152873916</v>
      </c>
      <c r="P17" s="22">
        <f t="shared" si="1"/>
        <v>211594.15287391603</v>
      </c>
    </row>
    <row r="18" spans="1:16" ht="12.75">
      <c r="A18" s="21">
        <v>2018</v>
      </c>
      <c r="B18" s="19">
        <v>0</v>
      </c>
      <c r="C18" s="20">
        <v>52523</v>
      </c>
      <c r="D18" s="20">
        <f t="shared" si="0"/>
        <v>52523</v>
      </c>
      <c r="E18" s="20">
        <v>39818.589076677235</v>
      </c>
      <c r="F18" s="20">
        <v>56419.16250875048</v>
      </c>
      <c r="G18" s="20">
        <v>16034.444087761862</v>
      </c>
      <c r="H18" s="20">
        <v>8223.811744</v>
      </c>
      <c r="I18" s="20">
        <v>0</v>
      </c>
      <c r="J18" s="20">
        <v>0</v>
      </c>
      <c r="K18" s="20">
        <v>92801.42756289997</v>
      </c>
      <c r="L18" s="20">
        <v>1437.2855016521098</v>
      </c>
      <c r="M18" s="20">
        <v>219.79386359999998</v>
      </c>
      <c r="N18" s="20">
        <v>51225.08969748</v>
      </c>
      <c r="O18" s="20">
        <f t="shared" si="2"/>
        <v>266179.6040428217</v>
      </c>
      <c r="P18" s="22">
        <f t="shared" si="1"/>
        <v>213656.60404282168</v>
      </c>
    </row>
    <row r="19" spans="1:16" ht="12.75">
      <c r="A19" s="21">
        <v>2019</v>
      </c>
      <c r="B19" s="19">
        <v>0</v>
      </c>
      <c r="C19" s="20">
        <v>52523</v>
      </c>
      <c r="D19" s="20">
        <f t="shared" si="0"/>
        <v>52523</v>
      </c>
      <c r="E19" s="20">
        <v>40553.79638002434</v>
      </c>
      <c r="F19" s="20">
        <v>57460.88149696688</v>
      </c>
      <c r="G19" s="20">
        <v>16331.530682304301</v>
      </c>
      <c r="H19" s="20">
        <v>8223.811744</v>
      </c>
      <c r="I19" s="20">
        <v>0</v>
      </c>
      <c r="J19" s="20">
        <v>0</v>
      </c>
      <c r="K19" s="20">
        <v>92801.42756289997</v>
      </c>
      <c r="L19" s="20">
        <v>1463.8234283419456</v>
      </c>
      <c r="M19" s="20">
        <v>219.79386359999998</v>
      </c>
      <c r="N19" s="20">
        <v>51225.08969748</v>
      </c>
      <c r="O19" s="20">
        <f t="shared" si="2"/>
        <v>268280.15485561744</v>
      </c>
      <c r="P19" s="22">
        <f t="shared" si="1"/>
        <v>215757.15485561744</v>
      </c>
    </row>
    <row r="20" spans="1:16" ht="12.75">
      <c r="A20" s="21">
        <v>2020</v>
      </c>
      <c r="B20" s="19">
        <v>0</v>
      </c>
      <c r="C20" s="20">
        <v>52523</v>
      </c>
      <c r="D20" s="20">
        <f t="shared" si="0"/>
        <v>52523</v>
      </c>
      <c r="E20" s="20">
        <v>41302.57849724166</v>
      </c>
      <c r="F20" s="20">
        <v>58521.83470838227</v>
      </c>
      <c r="G20" s="20">
        <v>16634.121704949997</v>
      </c>
      <c r="H20" s="20">
        <v>8223.811744</v>
      </c>
      <c r="I20" s="20">
        <v>0</v>
      </c>
      <c r="J20" s="20">
        <v>0</v>
      </c>
      <c r="K20" s="20">
        <v>92801.42756289997</v>
      </c>
      <c r="L20" s="20">
        <v>1490.8513493689916</v>
      </c>
      <c r="M20" s="20">
        <v>219.79386359999998</v>
      </c>
      <c r="N20" s="20">
        <v>51225.08969748</v>
      </c>
      <c r="O20" s="20">
        <f t="shared" si="2"/>
        <v>270419.5091279229</v>
      </c>
      <c r="P20" s="22">
        <f t="shared" si="1"/>
        <v>217896.50912792288</v>
      </c>
    </row>
    <row r="21" spans="1:16" ht="12.75">
      <c r="A21" s="21">
        <v>2021</v>
      </c>
      <c r="B21" s="19">
        <v>0</v>
      </c>
      <c r="C21" s="20">
        <v>52523</v>
      </c>
      <c r="D21" s="20">
        <f t="shared" si="0"/>
        <v>52523</v>
      </c>
      <c r="E21" s="20">
        <v>42019.58324670429</v>
      </c>
      <c r="F21" s="20">
        <v>59537.76240490561</v>
      </c>
      <c r="G21" s="20">
        <v>16926.396362211763</v>
      </c>
      <c r="H21" s="20">
        <v>8223.811744</v>
      </c>
      <c r="I21" s="20">
        <v>0</v>
      </c>
      <c r="J21" s="20">
        <v>0</v>
      </c>
      <c r="K21" s="20">
        <v>92801.42756289997</v>
      </c>
      <c r="L21" s="20">
        <v>1516.7322395490498</v>
      </c>
      <c r="M21" s="20">
        <v>219.79386359999998</v>
      </c>
      <c r="N21" s="20">
        <v>51225.08969748</v>
      </c>
      <c r="O21" s="20">
        <f t="shared" si="2"/>
        <v>272470.5971213507</v>
      </c>
      <c r="P21" s="22">
        <f t="shared" si="1"/>
        <v>219947.5971213507</v>
      </c>
    </row>
    <row r="22" spans="1:16" ht="12.75">
      <c r="A22" s="21">
        <v>2022</v>
      </c>
      <c r="B22" s="19">
        <v>0</v>
      </c>
      <c r="C22" s="20">
        <v>52523</v>
      </c>
      <c r="D22" s="20">
        <f t="shared" si="0"/>
        <v>52523</v>
      </c>
      <c r="E22" s="20">
        <v>42749.05017550513</v>
      </c>
      <c r="F22" s="20">
        <v>60571.34782706914</v>
      </c>
      <c r="G22" s="20">
        <v>17223.806516062577</v>
      </c>
      <c r="H22" s="20">
        <v>8223.811744</v>
      </c>
      <c r="I22" s="20">
        <v>0</v>
      </c>
      <c r="J22" s="20">
        <v>0</v>
      </c>
      <c r="K22" s="20">
        <v>92801.42756289997</v>
      </c>
      <c r="L22" s="20">
        <v>1543.0629625860001</v>
      </c>
      <c r="M22" s="20">
        <v>219.79386359999998</v>
      </c>
      <c r="N22" s="20">
        <v>51225.08969748</v>
      </c>
      <c r="O22" s="20">
        <f t="shared" si="2"/>
        <v>274557.39034920285</v>
      </c>
      <c r="P22" s="22">
        <f t="shared" si="1"/>
        <v>222034.39034920285</v>
      </c>
    </row>
    <row r="23" spans="1:16" ht="12.75">
      <c r="A23" s="21">
        <v>2023</v>
      </c>
      <c r="B23" s="19">
        <v>0</v>
      </c>
      <c r="C23" s="20">
        <v>52523</v>
      </c>
      <c r="D23" s="20">
        <f t="shared" si="0"/>
        <v>52523</v>
      </c>
      <c r="E23" s="20">
        <v>43491.19613767063</v>
      </c>
      <c r="F23" s="20">
        <v>61622.898236452005</v>
      </c>
      <c r="G23" s="20">
        <v>17526.442401233908</v>
      </c>
      <c r="H23" s="20">
        <v>8223.811744</v>
      </c>
      <c r="I23" s="20">
        <v>0</v>
      </c>
      <c r="J23" s="20">
        <v>0</v>
      </c>
      <c r="K23" s="20">
        <v>92801.42756289997</v>
      </c>
      <c r="L23" s="20">
        <v>1569.8513460085285</v>
      </c>
      <c r="M23" s="20">
        <v>219.79386359999998</v>
      </c>
      <c r="N23" s="20">
        <v>51225.08969748</v>
      </c>
      <c r="O23" s="20">
        <f t="shared" si="2"/>
        <v>276680.510989345</v>
      </c>
      <c r="P23" s="22">
        <f t="shared" si="1"/>
        <v>224157.51098934503</v>
      </c>
    </row>
    <row r="24" spans="1:16" ht="12.75">
      <c r="A24" s="21">
        <v>2024</v>
      </c>
      <c r="B24" s="19">
        <v>0</v>
      </c>
      <c r="C24" s="20">
        <v>52523</v>
      </c>
      <c r="D24" s="20">
        <f t="shared" si="0"/>
        <v>52523</v>
      </c>
      <c r="E24" s="20">
        <v>44246.24176483694</v>
      </c>
      <c r="F24" s="20">
        <v>62692.72624714787</v>
      </c>
      <c r="G24" s="20">
        <v>17834.395837952743</v>
      </c>
      <c r="H24" s="20">
        <v>8223.811744</v>
      </c>
      <c r="I24" s="20">
        <v>0</v>
      </c>
      <c r="J24" s="20">
        <v>0</v>
      </c>
      <c r="K24" s="20">
        <v>92801.42756289997</v>
      </c>
      <c r="L24" s="20">
        <v>1597.1053537013224</v>
      </c>
      <c r="M24" s="20">
        <v>219.79386359999998</v>
      </c>
      <c r="N24" s="20">
        <v>51225.08969748</v>
      </c>
      <c r="O24" s="20">
        <f t="shared" si="2"/>
        <v>278840.5920716189</v>
      </c>
      <c r="P24" s="22">
        <f t="shared" si="1"/>
        <v>226317.59207161888</v>
      </c>
    </row>
    <row r="25" spans="1:16" ht="12.75">
      <c r="A25" s="21">
        <v>2025</v>
      </c>
      <c r="B25" s="19">
        <v>0</v>
      </c>
      <c r="C25" s="20">
        <v>52523</v>
      </c>
      <c r="D25" s="20">
        <f t="shared" si="0"/>
        <v>52523</v>
      </c>
      <c r="E25" s="20">
        <v>45014.41153212449</v>
      </c>
      <c r="F25" s="20">
        <v>63781.149919102885</v>
      </c>
      <c r="G25" s="20">
        <v>18147.760259799998</v>
      </c>
      <c r="H25" s="20">
        <v>8223.811744</v>
      </c>
      <c r="I25" s="20">
        <v>0</v>
      </c>
      <c r="J25" s="20">
        <v>0</v>
      </c>
      <c r="K25" s="20">
        <v>92801.42756289997</v>
      </c>
      <c r="L25" s="20">
        <v>1624.8330882828716</v>
      </c>
      <c r="M25" s="20">
        <v>219.79386359999998</v>
      </c>
      <c r="N25" s="20">
        <v>51225.08969748</v>
      </c>
      <c r="O25" s="20">
        <f t="shared" si="2"/>
        <v>281038.2776672902</v>
      </c>
      <c r="P25" s="22">
        <f t="shared" si="1"/>
        <v>228515.27766729018</v>
      </c>
    </row>
    <row r="26" spans="1:16" ht="12.75">
      <c r="A26" s="21">
        <v>2026</v>
      </c>
      <c r="B26" s="19">
        <v>0</v>
      </c>
      <c r="C26" s="20">
        <v>52523</v>
      </c>
      <c r="D26" s="20">
        <f t="shared" si="0"/>
        <v>52523</v>
      </c>
      <c r="E26" s="20">
        <v>45795.93382516232</v>
      </c>
      <c r="F26" s="20">
        <v>64888.49285308292</v>
      </c>
      <c r="G26" s="20">
        <v>18466.630742058365</v>
      </c>
      <c r="H26" s="20">
        <v>8223.811744</v>
      </c>
      <c r="I26" s="20">
        <v>0</v>
      </c>
      <c r="J26" s="20">
        <v>0</v>
      </c>
      <c r="K26" s="20">
        <v>92801.42756289997</v>
      </c>
      <c r="L26" s="20">
        <v>1653.042793524766</v>
      </c>
      <c r="M26" s="20">
        <v>219.79386359999998</v>
      </c>
      <c r="N26" s="20">
        <v>51225.08969748</v>
      </c>
      <c r="O26" s="20">
        <f t="shared" si="2"/>
        <v>283274.22308180836</v>
      </c>
      <c r="P26" s="22">
        <f t="shared" si="1"/>
        <v>230751.22308180836</v>
      </c>
    </row>
    <row r="27" spans="1:16" ht="12.75">
      <c r="A27" s="21">
        <v>2027</v>
      </c>
      <c r="B27" s="19">
        <v>0</v>
      </c>
      <c r="C27" s="20">
        <v>52523</v>
      </c>
      <c r="D27" s="20">
        <f t="shared" si="0"/>
        <v>52523</v>
      </c>
      <c r="E27" s="20">
        <v>46591.04100828254</v>
      </c>
      <c r="F27" s="20">
        <v>66015.0842872985</v>
      </c>
      <c r="G27" s="20">
        <v>18791.10403055839</v>
      </c>
      <c r="H27" s="20">
        <v>8223.811744</v>
      </c>
      <c r="I27" s="20">
        <v>0</v>
      </c>
      <c r="J27" s="20">
        <v>0</v>
      </c>
      <c r="K27" s="20">
        <v>92801.42756289997</v>
      </c>
      <c r="L27" s="20">
        <v>1681.742856813234</v>
      </c>
      <c r="M27" s="20">
        <v>219.79386359999998</v>
      </c>
      <c r="N27" s="20">
        <v>51225.08969748</v>
      </c>
      <c r="O27" s="20">
        <f t="shared" si="2"/>
        <v>285549.09505093266</v>
      </c>
      <c r="P27" s="22">
        <f t="shared" si="1"/>
        <v>233026.09505093266</v>
      </c>
    </row>
    <row r="28" spans="1:16" ht="12.75">
      <c r="A28" s="21">
        <v>2028</v>
      </c>
      <c r="B28" s="19">
        <v>0</v>
      </c>
      <c r="C28" s="20">
        <v>52523</v>
      </c>
      <c r="D28" s="20">
        <f t="shared" si="0"/>
        <v>52523</v>
      </c>
      <c r="E28" s="20">
        <v>47399.969493904966</v>
      </c>
      <c r="F28" s="20">
        <v>67161.25919571635</v>
      </c>
      <c r="G28" s="20">
        <v>19121.27857103126</v>
      </c>
      <c r="H28" s="20">
        <v>8223.811744</v>
      </c>
      <c r="I28" s="20">
        <v>0</v>
      </c>
      <c r="J28" s="20">
        <v>0</v>
      </c>
      <c r="K28" s="20">
        <v>92801.42756289997</v>
      </c>
      <c r="L28" s="20">
        <v>1710.9418116536383</v>
      </c>
      <c r="M28" s="20">
        <v>219.79386359999998</v>
      </c>
      <c r="N28" s="20">
        <v>51225.08969748</v>
      </c>
      <c r="O28" s="20">
        <f t="shared" si="2"/>
        <v>287863.5719402862</v>
      </c>
      <c r="P28" s="22">
        <f t="shared" si="1"/>
        <v>235340.5719402862</v>
      </c>
    </row>
    <row r="29" spans="1:16" ht="13.5" thickBot="1">
      <c r="A29" s="23">
        <v>2029</v>
      </c>
      <c r="B29" s="24">
        <v>0</v>
      </c>
      <c r="C29" s="20">
        <v>52523</v>
      </c>
      <c r="D29" s="25">
        <f t="shared" si="0"/>
        <v>52523</v>
      </c>
      <c r="E29" s="25">
        <v>48222.95981313312</v>
      </c>
      <c r="F29" s="25">
        <v>68327.35838808725</v>
      </c>
      <c r="G29" s="25">
        <v>19457.254538977428</v>
      </c>
      <c r="H29" s="25">
        <v>8223.811744</v>
      </c>
      <c r="I29" s="25">
        <v>0</v>
      </c>
      <c r="J29" s="25">
        <v>0</v>
      </c>
      <c r="K29" s="25">
        <v>92801.42756289997</v>
      </c>
      <c r="L29" s="25">
        <v>1740.6483402186973</v>
      </c>
      <c r="M29" s="25">
        <v>219.79386359999998</v>
      </c>
      <c r="N29" s="25">
        <v>51225.08969748</v>
      </c>
      <c r="O29" s="25">
        <f t="shared" si="2"/>
        <v>290218.3439483965</v>
      </c>
      <c r="P29" s="26">
        <f t="shared" si="1"/>
        <v>237695.3439483965</v>
      </c>
    </row>
    <row r="30" spans="1:16" ht="12.75">
      <c r="A30" s="60" t="s">
        <v>44</v>
      </c>
      <c r="B30" s="61"/>
      <c r="C30" s="61"/>
      <c r="D30" s="61"/>
      <c r="E30" s="61"/>
      <c r="F30" s="61"/>
      <c r="G30" s="61"/>
      <c r="H30" s="62"/>
      <c r="I30" s="56" t="s">
        <v>24</v>
      </c>
      <c r="J30" s="57"/>
      <c r="K30" s="57"/>
      <c r="L30" s="57"/>
      <c r="M30" s="74">
        <f>IRR(P5:P29,0.1)</f>
        <v>0.003619985462459412</v>
      </c>
      <c r="N30" s="74"/>
      <c r="O30" s="74"/>
      <c r="P30" s="75"/>
    </row>
    <row r="31" spans="1:16" ht="16.5" customHeight="1">
      <c r="A31" s="63"/>
      <c r="B31" s="64"/>
      <c r="C31" s="64"/>
      <c r="D31" s="64"/>
      <c r="E31" s="64"/>
      <c r="F31" s="64"/>
      <c r="G31" s="64"/>
      <c r="H31" s="36"/>
      <c r="I31" s="54" t="s">
        <v>38</v>
      </c>
      <c r="J31" s="55"/>
      <c r="K31" s="69">
        <v>0.02</v>
      </c>
      <c r="L31" s="69"/>
      <c r="M31" s="69">
        <v>0.03</v>
      </c>
      <c r="N31" s="69"/>
      <c r="O31" s="69">
        <v>0.04</v>
      </c>
      <c r="P31" s="70"/>
    </row>
    <row r="32" spans="1:16" ht="13.5" thickBot="1">
      <c r="A32" s="37"/>
      <c r="B32" s="65"/>
      <c r="C32" s="65"/>
      <c r="D32" s="65"/>
      <c r="E32" s="65"/>
      <c r="F32" s="65"/>
      <c r="G32" s="65"/>
      <c r="H32" s="66"/>
      <c r="I32" s="73" t="s">
        <v>37</v>
      </c>
      <c r="J32" s="53"/>
      <c r="K32" s="52">
        <f>NPV(K31,P5:P29)</f>
        <v>-617965.3347737589</v>
      </c>
      <c r="L32" s="53"/>
      <c r="M32" s="52">
        <f>NPV(M31,P5:P29)</f>
        <v>-890039.2196960513</v>
      </c>
      <c r="N32" s="53"/>
      <c r="O32" s="52">
        <f>NPV(0.06,P5:P29)</f>
        <v>-1387488.3981148</v>
      </c>
      <c r="P32" s="77"/>
    </row>
  </sheetData>
  <mergeCells count="15">
    <mergeCell ref="M32:N32"/>
    <mergeCell ref="O32:P32"/>
    <mergeCell ref="B2:D2"/>
    <mergeCell ref="A2:A3"/>
    <mergeCell ref="I32:J32"/>
    <mergeCell ref="E2:O2"/>
    <mergeCell ref="K32:L32"/>
    <mergeCell ref="I31:J31"/>
    <mergeCell ref="I30:L30"/>
    <mergeCell ref="M30:P30"/>
    <mergeCell ref="A30:H32"/>
    <mergeCell ref="P2:P3"/>
    <mergeCell ref="O31:P31"/>
    <mergeCell ref="M31:N31"/>
    <mergeCell ref="K31:L31"/>
  </mergeCells>
  <printOptions horizontalCentered="1"/>
  <pageMargins left="1" right="1" top="1" bottom="0.6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Melo Patron</cp:lastModifiedBy>
  <cp:lastPrinted>2003-09-18T23:58:42Z</cp:lastPrinted>
  <dcterms:created xsi:type="dcterms:W3CDTF">1996-10-14T23:33:28Z</dcterms:created>
  <dcterms:modified xsi:type="dcterms:W3CDTF">2003-09-18T23:58:45Z</dcterms:modified>
  <cp:category/>
  <cp:version/>
  <cp:contentType/>
  <cp:contentStatus/>
</cp:coreProperties>
</file>